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https://stratfieldmortimer.sharepoint.com/sites/ParishOffice/Shared Documents/ADMINISTRATION 2025 - 2026/FINANCE/Budget 2026-27/"/>
    </mc:Choice>
  </mc:AlternateContent>
  <xr:revisionPtr revIDLastSave="365" documentId="8_{7010500D-540E-4BCD-A30B-A7F248949961}" xr6:coauthVersionLast="47" xr6:coauthVersionMax="47" xr10:uidLastSave="{D1962EEC-4C83-419A-B8A5-AD2466197CC4}"/>
  <bookViews>
    <workbookView xWindow="19090" yWindow="-6640" windowWidth="38620" windowHeight="21100" tabRatio="868" activeTab="7" xr2:uid="{00000000-000D-0000-FFFF-FFFF00000000}"/>
  </bookViews>
  <sheets>
    <sheet name="Budget Summary" sheetId="8" r:id="rId1"/>
    <sheet name="Reserves" sheetId="9" r:id="rId2"/>
    <sheet name="100 Income" sheetId="2" r:id="rId3"/>
    <sheet name="101 Admin" sheetId="3" r:id="rId4"/>
    <sheet name="105 Community" sheetId="4" r:id="rId5"/>
    <sheet name="106 Estate Managment" sheetId="5" r:id="rId6"/>
    <sheet name="107 Planning and Highways" sheetId="6" r:id="rId7"/>
    <sheet name="CIL" sheetId="14" r:id="rId8"/>
  </sheets>
  <definedNames>
    <definedName name="_xlnm.Print_Area" localSheetId="2">'100 Income'!$B$2:$L$36</definedName>
    <definedName name="_xlnm.Print_Area" localSheetId="3">'101 Admin'!$B$2:$L$37</definedName>
    <definedName name="_xlnm.Print_Area" localSheetId="4">'105 Community'!$B$2:$L$20</definedName>
    <definedName name="_xlnm.Print_Area" localSheetId="5">'106 Estate Managment'!$B$2:$L$32</definedName>
    <definedName name="_xlnm.Print_Area" localSheetId="6">'107 Planning and Highways'!$B$2:$L$11</definedName>
    <definedName name="_xlnm.Print_Area" localSheetId="0">'Budget Summary'!$B$2:$L$37</definedName>
    <definedName name="_xlnm.Print_Area" localSheetId="1">Reserves!$B$3:$M$30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8" l="1"/>
  <c r="H30" i="2"/>
  <c r="I4" i="9" l="1"/>
  <c r="I20" i="9"/>
  <c r="H20" i="4" l="1"/>
  <c r="L26" i="9" l="1"/>
  <c r="L25" i="9"/>
  <c r="L24" i="9"/>
  <c r="K12" i="9"/>
  <c r="K14" i="9"/>
  <c r="K7" i="9"/>
  <c r="G12" i="9"/>
  <c r="H12" i="9" s="1"/>
  <c r="J12" i="9" s="1"/>
  <c r="G7" i="9"/>
  <c r="H7" i="9" s="1"/>
  <c r="J7" i="9" s="1"/>
  <c r="G6" i="9"/>
  <c r="H6" i="9" s="1"/>
  <c r="J6" i="9" s="1"/>
  <c r="L6" i="9" s="1"/>
  <c r="G46" i="9"/>
  <c r="G45" i="9"/>
  <c r="G21" i="6"/>
  <c r="G58" i="5"/>
  <c r="H18" i="9"/>
  <c r="J18" i="9" s="1"/>
  <c r="L18" i="9" s="1"/>
  <c r="H15" i="9"/>
  <c r="J15" i="9" s="1"/>
  <c r="L15" i="9" s="1"/>
  <c r="H13" i="9"/>
  <c r="J13" i="9" s="1"/>
  <c r="L13" i="9" s="1"/>
  <c r="H11" i="9"/>
  <c r="J11" i="9" s="1"/>
  <c r="L11" i="9" s="1"/>
  <c r="H10" i="9"/>
  <c r="J10" i="9" s="1"/>
  <c r="L10" i="9" s="1"/>
  <c r="H9" i="9"/>
  <c r="J9" i="9" s="1"/>
  <c r="L9" i="9" s="1"/>
  <c r="H5" i="9"/>
  <c r="J5" i="9" s="1"/>
  <c r="L5" i="9" s="1"/>
  <c r="H28" i="9"/>
  <c r="L28" i="9" s="1"/>
  <c r="G27" i="9"/>
  <c r="G17" i="9"/>
  <c r="H17" i="9" s="1"/>
  <c r="J17" i="9" s="1"/>
  <c r="L17" i="9" s="1"/>
  <c r="G16" i="9"/>
  <c r="H16" i="9" s="1"/>
  <c r="J16" i="9" s="1"/>
  <c r="L16" i="9" s="1"/>
  <c r="G8" i="9"/>
  <c r="H8" i="9" s="1"/>
  <c r="J8" i="9" s="1"/>
  <c r="L8" i="9" s="1"/>
  <c r="G14" i="9"/>
  <c r="H14" i="9" s="1"/>
  <c r="J14" i="9" s="1"/>
  <c r="F30" i="9"/>
  <c r="F20" i="9"/>
  <c r="D20" i="9"/>
  <c r="L12" i="9" l="1"/>
  <c r="L14" i="9"/>
  <c r="L7" i="9"/>
  <c r="G52" i="9"/>
  <c r="H27" i="9"/>
  <c r="F33" i="9"/>
  <c r="L27" i="9" l="1"/>
  <c r="G19" i="8" l="1"/>
  <c r="F19" i="8"/>
  <c r="F18" i="8"/>
  <c r="H11" i="6" l="1"/>
  <c r="K49" i="5" l="1"/>
  <c r="J49" i="5"/>
  <c r="I49" i="5"/>
  <c r="K47" i="5"/>
  <c r="J47" i="5"/>
  <c r="I47" i="5"/>
  <c r="K45" i="5"/>
  <c r="J45" i="5"/>
  <c r="I45" i="5"/>
  <c r="K43" i="5"/>
  <c r="J43" i="5"/>
  <c r="I43" i="5"/>
  <c r="G11" i="6" l="1"/>
  <c r="F11" i="6"/>
  <c r="E11" i="6"/>
  <c r="D11" i="6"/>
  <c r="H34" i="2" l="1"/>
  <c r="F52" i="5" l="1"/>
  <c r="E52" i="5"/>
  <c r="D52" i="5"/>
  <c r="K19" i="4"/>
  <c r="J19" i="4"/>
  <c r="I19" i="4"/>
  <c r="K17" i="4"/>
  <c r="J17" i="4"/>
  <c r="I17" i="4"/>
  <c r="H52" i="5"/>
  <c r="K13" i="6" l="1"/>
  <c r="J13" i="6"/>
  <c r="I13" i="6"/>
  <c r="G52" i="5" l="1"/>
  <c r="I29" i="5" l="1"/>
  <c r="J29" i="5"/>
  <c r="K29" i="5"/>
  <c r="I27" i="5"/>
  <c r="J27" i="5"/>
  <c r="K27" i="5"/>
  <c r="I41" i="5"/>
  <c r="J41" i="5"/>
  <c r="K41" i="5"/>
  <c r="I31" i="5" l="1"/>
  <c r="J31" i="5"/>
  <c r="K31" i="5"/>
  <c r="K28" i="4"/>
  <c r="J28" i="4"/>
  <c r="I28" i="4"/>
  <c r="K26" i="4"/>
  <c r="J26" i="4"/>
  <c r="I26" i="4"/>
  <c r="K24" i="4"/>
  <c r="J24" i="4"/>
  <c r="I24" i="4"/>
  <c r="K18" i="4"/>
  <c r="J18" i="4"/>
  <c r="I18" i="4"/>
  <c r="K16" i="4"/>
  <c r="J16" i="4"/>
  <c r="I16" i="4"/>
  <c r="D20" i="4"/>
  <c r="E20" i="4"/>
  <c r="F20" i="4"/>
  <c r="F10" i="8" s="1"/>
  <c r="G20" i="4"/>
  <c r="I22" i="4"/>
  <c r="J22" i="4"/>
  <c r="K22" i="4"/>
  <c r="D29" i="4"/>
  <c r="E29" i="4"/>
  <c r="F29" i="4"/>
  <c r="K20" i="4" l="1"/>
  <c r="D31" i="4"/>
  <c r="J20" i="4"/>
  <c r="I20" i="4"/>
  <c r="E31" i="4"/>
  <c r="F31" i="4"/>
  <c r="K22" i="3" l="1"/>
  <c r="J22" i="3"/>
  <c r="I22" i="3"/>
  <c r="H20" i="8"/>
  <c r="J24" i="14" l="1"/>
  <c r="I10" i="3"/>
  <c r="J10" i="3"/>
  <c r="K10" i="3"/>
  <c r="J14" i="14" l="1"/>
  <c r="D14" i="14"/>
  <c r="B14" i="14"/>
  <c r="I24" i="14"/>
  <c r="L14" i="14"/>
  <c r="I14" i="14"/>
  <c r="G30" i="2" l="1"/>
  <c r="N14" i="14"/>
  <c r="C24" i="14" s="1"/>
  <c r="E34" i="2"/>
  <c r="E26" i="2"/>
  <c r="E20" i="2"/>
  <c r="G23" i="9" l="1"/>
  <c r="G18" i="8"/>
  <c r="E28" i="2"/>
  <c r="E36" i="2" s="1"/>
  <c r="G53" i="8" l="1"/>
  <c r="H23" i="9"/>
  <c r="G30" i="9"/>
  <c r="L23" i="9" l="1"/>
  <c r="L30" i="9" s="1"/>
  <c r="H30" i="9"/>
  <c r="K14" i="5"/>
  <c r="J14" i="5"/>
  <c r="I14" i="5"/>
  <c r="F15" i="6" l="1"/>
  <c r="F29" i="8" s="1"/>
  <c r="F28" i="8"/>
  <c r="F32" i="5"/>
  <c r="F27" i="8"/>
  <c r="F35" i="3"/>
  <c r="F26" i="8" s="1"/>
  <c r="F29" i="3"/>
  <c r="F9" i="8" s="1"/>
  <c r="F24" i="3"/>
  <c r="F26" i="2"/>
  <c r="F34" i="2"/>
  <c r="F20" i="2"/>
  <c r="K14" i="4"/>
  <c r="J14" i="4"/>
  <c r="I14" i="4"/>
  <c r="F54" i="5" l="1"/>
  <c r="F28" i="2"/>
  <c r="F6" i="8" s="1"/>
  <c r="F31" i="8"/>
  <c r="F12" i="8"/>
  <c r="F17" i="6"/>
  <c r="F11" i="8"/>
  <c r="F37" i="3"/>
  <c r="F8" i="8"/>
  <c r="F22" i="8"/>
  <c r="F33" i="8" s="1"/>
  <c r="G26" i="2"/>
  <c r="G20" i="2"/>
  <c r="D20" i="8"/>
  <c r="D18" i="8"/>
  <c r="F36" i="2" l="1"/>
  <c r="F13" i="8"/>
  <c r="F34" i="8"/>
  <c r="D22" i="8"/>
  <c r="F15" i="8" l="1"/>
  <c r="F37" i="8"/>
  <c r="E29" i="9" l="1"/>
  <c r="H24" i="3"/>
  <c r="G24" i="3"/>
  <c r="E24" i="3"/>
  <c r="D24" i="3"/>
  <c r="L24" i="14" l="1"/>
  <c r="K6" i="6" l="1"/>
  <c r="J6" i="6"/>
  <c r="I6" i="6"/>
  <c r="D24" i="14"/>
  <c r="H22" i="8" s="1"/>
  <c r="M14" i="14" l="1"/>
  <c r="B24" i="14" s="1"/>
  <c r="N24" i="14" s="1"/>
  <c r="M24" i="14" l="1"/>
  <c r="G20" i="8"/>
  <c r="G22" i="8" l="1"/>
  <c r="K38" i="5"/>
  <c r="J38" i="5"/>
  <c r="I38" i="5"/>
  <c r="H15" i="6"/>
  <c r="H29" i="8" s="1"/>
  <c r="K29" i="8" s="1"/>
  <c r="G15" i="6"/>
  <c r="E15" i="6"/>
  <c r="E29" i="8" s="1"/>
  <c r="I29" i="8" s="1"/>
  <c r="D15" i="6"/>
  <c r="D29" i="8" s="1"/>
  <c r="G34" i="2"/>
  <c r="D34" i="2"/>
  <c r="K32" i="2"/>
  <c r="J32" i="2"/>
  <c r="I32" i="2"/>
  <c r="K30" i="2"/>
  <c r="J30" i="2"/>
  <c r="I30" i="2"/>
  <c r="H35" i="3"/>
  <c r="H26" i="8" s="1"/>
  <c r="G35" i="3"/>
  <c r="H28" i="8"/>
  <c r="E28" i="8"/>
  <c r="E35" i="3"/>
  <c r="E26" i="8" s="1"/>
  <c r="K36" i="5"/>
  <c r="J36" i="5"/>
  <c r="I36" i="5"/>
  <c r="K34" i="5"/>
  <c r="J34" i="5"/>
  <c r="I34" i="5"/>
  <c r="H29" i="4"/>
  <c r="G29" i="4"/>
  <c r="E27" i="8"/>
  <c r="D27" i="8"/>
  <c r="K31" i="3"/>
  <c r="J31" i="3"/>
  <c r="I31" i="3"/>
  <c r="D35" i="3"/>
  <c r="D26" i="8" s="1"/>
  <c r="K7" i="3"/>
  <c r="J7" i="3"/>
  <c r="I7" i="3"/>
  <c r="G31" i="4" l="1"/>
  <c r="I31" i="4" s="1"/>
  <c r="G35" i="4"/>
  <c r="G44" i="9" s="1"/>
  <c r="G49" i="9" s="1"/>
  <c r="H31" i="4"/>
  <c r="J31" i="4" s="1"/>
  <c r="H35" i="4"/>
  <c r="E31" i="8"/>
  <c r="K29" i="4"/>
  <c r="J29" i="4"/>
  <c r="G27" i="8"/>
  <c r="H27" i="8"/>
  <c r="H31" i="8" s="1"/>
  <c r="G28" i="8"/>
  <c r="J52" i="5"/>
  <c r="I15" i="6"/>
  <c r="G29" i="8"/>
  <c r="I28" i="8" s="1"/>
  <c r="I52" i="5"/>
  <c r="K52" i="5"/>
  <c r="I35" i="3"/>
  <c r="J35" i="3"/>
  <c r="K35" i="3"/>
  <c r="G26" i="8"/>
  <c r="J29" i="8"/>
  <c r="J28" i="8"/>
  <c r="I29" i="4"/>
  <c r="J15" i="6"/>
  <c r="K15" i="6"/>
  <c r="K24" i="2"/>
  <c r="J24" i="2"/>
  <c r="I24" i="2"/>
  <c r="D32" i="5"/>
  <c r="I8" i="3"/>
  <c r="I8" i="4"/>
  <c r="K9" i="6"/>
  <c r="K25" i="5"/>
  <c r="K22" i="5"/>
  <c r="K20" i="5"/>
  <c r="K18" i="5"/>
  <c r="K16" i="5"/>
  <c r="K12" i="5"/>
  <c r="K10" i="5"/>
  <c r="K8" i="5"/>
  <c r="K6" i="5"/>
  <c r="K12" i="4"/>
  <c r="K10" i="4"/>
  <c r="K8" i="4"/>
  <c r="K6" i="4"/>
  <c r="K6" i="3"/>
  <c r="K34" i="2"/>
  <c r="K25" i="2"/>
  <c r="K23" i="2"/>
  <c r="K22" i="2"/>
  <c r="K19" i="2"/>
  <c r="K18" i="2"/>
  <c r="K17" i="2"/>
  <c r="K15" i="2"/>
  <c r="K13" i="2"/>
  <c r="K11" i="2"/>
  <c r="K9" i="2"/>
  <c r="K7" i="2"/>
  <c r="K5" i="2"/>
  <c r="K33" i="3"/>
  <c r="K27" i="3"/>
  <c r="K26" i="3"/>
  <c r="K21" i="3"/>
  <c r="K20" i="3"/>
  <c r="K19" i="3"/>
  <c r="K18" i="3"/>
  <c r="K17" i="3"/>
  <c r="K16" i="3"/>
  <c r="K15" i="3"/>
  <c r="K14" i="3"/>
  <c r="K13" i="3"/>
  <c r="K12" i="3"/>
  <c r="K11" i="3"/>
  <c r="K9" i="3"/>
  <c r="K8" i="3"/>
  <c r="J25" i="5"/>
  <c r="I25" i="5"/>
  <c r="E32" i="5"/>
  <c r="E54" i="5" s="1"/>
  <c r="H32" i="5"/>
  <c r="H20" i="2"/>
  <c r="H26" i="2"/>
  <c r="G32" i="5"/>
  <c r="D30" i="9"/>
  <c r="D33" i="9" s="1"/>
  <c r="J9" i="6"/>
  <c r="I9" i="6"/>
  <c r="J22" i="5"/>
  <c r="I22" i="5"/>
  <c r="J20" i="5"/>
  <c r="I20" i="5"/>
  <c r="J18" i="5"/>
  <c r="I18" i="5"/>
  <c r="J16" i="5"/>
  <c r="I16" i="5"/>
  <c r="J12" i="5"/>
  <c r="I12" i="5"/>
  <c r="J10" i="5"/>
  <c r="I10" i="5"/>
  <c r="J8" i="5"/>
  <c r="I8" i="5"/>
  <c r="J6" i="5"/>
  <c r="I6" i="5"/>
  <c r="J12" i="4"/>
  <c r="I12" i="4"/>
  <c r="J10" i="4"/>
  <c r="I10" i="4"/>
  <c r="J8" i="4"/>
  <c r="J6" i="4"/>
  <c r="I6" i="4"/>
  <c r="J34" i="2"/>
  <c r="I34" i="2"/>
  <c r="J25" i="2"/>
  <c r="I25" i="2"/>
  <c r="J23" i="2"/>
  <c r="I23" i="2"/>
  <c r="J22" i="2"/>
  <c r="I22" i="2"/>
  <c r="J19" i="2"/>
  <c r="I19" i="2"/>
  <c r="J18" i="2"/>
  <c r="I18" i="2"/>
  <c r="J17" i="2"/>
  <c r="I17" i="2"/>
  <c r="J15" i="2"/>
  <c r="I15" i="2"/>
  <c r="J13" i="2"/>
  <c r="I13" i="2"/>
  <c r="J11" i="2"/>
  <c r="I11" i="2"/>
  <c r="J9" i="2"/>
  <c r="I9" i="2"/>
  <c r="J7" i="2"/>
  <c r="I7" i="2"/>
  <c r="J5" i="2"/>
  <c r="I5" i="2"/>
  <c r="E18" i="8"/>
  <c r="E22" i="8" s="1"/>
  <c r="E33" i="8" s="1"/>
  <c r="I33" i="3"/>
  <c r="J33" i="3"/>
  <c r="J27" i="3"/>
  <c r="J26" i="3"/>
  <c r="J21" i="3"/>
  <c r="J20" i="3"/>
  <c r="J19" i="3"/>
  <c r="J18" i="3"/>
  <c r="J17" i="3"/>
  <c r="J16" i="3"/>
  <c r="J15" i="3"/>
  <c r="J14" i="3"/>
  <c r="J13" i="3"/>
  <c r="J12" i="3"/>
  <c r="J11" i="3"/>
  <c r="J9" i="3"/>
  <c r="J8" i="3"/>
  <c r="J6" i="3"/>
  <c r="I27" i="3"/>
  <c r="I26" i="3"/>
  <c r="I21" i="3"/>
  <c r="I20" i="3"/>
  <c r="I19" i="3"/>
  <c r="I18" i="3"/>
  <c r="I17" i="3"/>
  <c r="I16" i="3"/>
  <c r="I15" i="3"/>
  <c r="I14" i="3"/>
  <c r="I13" i="3"/>
  <c r="I12" i="3"/>
  <c r="I11" i="3"/>
  <c r="I9" i="3"/>
  <c r="D20" i="2"/>
  <c r="D26" i="2"/>
  <c r="I6" i="3"/>
  <c r="H54" i="5" l="1"/>
  <c r="K31" i="4"/>
  <c r="I27" i="8"/>
  <c r="F34" i="9"/>
  <c r="H28" i="2"/>
  <c r="H36" i="2" s="1"/>
  <c r="H41" i="2" s="1"/>
  <c r="G31" i="8"/>
  <c r="G33" i="8"/>
  <c r="G54" i="5"/>
  <c r="I54" i="5" s="1"/>
  <c r="K27" i="8"/>
  <c r="J27" i="8"/>
  <c r="D28" i="2"/>
  <c r="D36" i="2" s="1"/>
  <c r="E17" i="6"/>
  <c r="E8" i="8"/>
  <c r="H8" i="8"/>
  <c r="E10" i="8"/>
  <c r="D10" i="8"/>
  <c r="G17" i="6"/>
  <c r="K28" i="8"/>
  <c r="D11" i="8"/>
  <c r="E6" i="8"/>
  <c r="I20" i="2"/>
  <c r="J26" i="2"/>
  <c r="K20" i="2"/>
  <c r="K18" i="8"/>
  <c r="E11" i="8"/>
  <c r="G11" i="8"/>
  <c r="I26" i="8"/>
  <c r="K26" i="8"/>
  <c r="G10" i="8"/>
  <c r="I24" i="3"/>
  <c r="G8" i="8"/>
  <c r="D8" i="8"/>
  <c r="J26" i="8"/>
  <c r="J20" i="2"/>
  <c r="G28" i="2"/>
  <c r="K26" i="2"/>
  <c r="J18" i="8"/>
  <c r="I18" i="8"/>
  <c r="E12" i="8"/>
  <c r="I32" i="5"/>
  <c r="K32" i="5"/>
  <c r="J32" i="5"/>
  <c r="H11" i="8"/>
  <c r="J24" i="3"/>
  <c r="K24" i="3"/>
  <c r="G34" i="8" l="1"/>
  <c r="G36" i="2"/>
  <c r="J8" i="8"/>
  <c r="I17" i="6"/>
  <c r="G12" i="8"/>
  <c r="I11" i="6"/>
  <c r="I11" i="8"/>
  <c r="D12" i="8"/>
  <c r="D17" i="6"/>
  <c r="D6" i="8"/>
  <c r="K54" i="5"/>
  <c r="J54" i="5"/>
  <c r="H10" i="8"/>
  <c r="J10" i="8" s="1"/>
  <c r="I33" i="8"/>
  <c r="E34" i="8"/>
  <c r="I10" i="8"/>
  <c r="I8" i="8"/>
  <c r="K8" i="8"/>
  <c r="I28" i="2"/>
  <c r="G6" i="8"/>
  <c r="J28" i="2"/>
  <c r="H6" i="8"/>
  <c r="K28" i="2"/>
  <c r="J11" i="8"/>
  <c r="K11" i="8"/>
  <c r="I34" i="8" l="1"/>
  <c r="I36" i="2"/>
  <c r="I12" i="8"/>
  <c r="K10" i="8"/>
  <c r="I6" i="8"/>
  <c r="K6" i="8"/>
  <c r="J6" i="8"/>
  <c r="K36" i="2"/>
  <c r="J36" i="2"/>
  <c r="G29" i="3"/>
  <c r="H29" i="3"/>
  <c r="D29" i="3"/>
  <c r="D9" i="8" s="1"/>
  <c r="D13" i="8" s="1"/>
  <c r="E29" i="3"/>
  <c r="E9" i="8" l="1"/>
  <c r="E13" i="8" s="1"/>
  <c r="E37" i="3"/>
  <c r="H37" i="3"/>
  <c r="D37" i="3"/>
  <c r="H9" i="8"/>
  <c r="K29" i="3"/>
  <c r="D15" i="8"/>
  <c r="J29" i="3"/>
  <c r="G9" i="8"/>
  <c r="G13" i="8" s="1"/>
  <c r="G37" i="3"/>
  <c r="I29" i="3"/>
  <c r="G37" i="8" l="1"/>
  <c r="J37" i="3"/>
  <c r="J9" i="8"/>
  <c r="I37" i="3"/>
  <c r="E37" i="8"/>
  <c r="I9" i="8"/>
  <c r="K37" i="3"/>
  <c r="K9" i="8"/>
  <c r="I13" i="8"/>
  <c r="G15" i="8"/>
  <c r="E15" i="8"/>
  <c r="I37" i="8" l="1"/>
  <c r="H33" i="8"/>
  <c r="H34" i="8" s="1"/>
  <c r="H35" i="9" l="1"/>
  <c r="J34" i="8"/>
  <c r="K34" i="8"/>
  <c r="J33" i="8"/>
  <c r="K33" i="8"/>
  <c r="H17" i="6" l="1"/>
  <c r="K17" i="6" s="1"/>
  <c r="H12" i="8"/>
  <c r="K12" i="8" s="1"/>
  <c r="K11" i="6"/>
  <c r="J11" i="6"/>
  <c r="G4" i="9" l="1"/>
  <c r="J12" i="8"/>
  <c r="J17" i="6"/>
  <c r="H13" i="8"/>
  <c r="H4" i="9" l="1"/>
  <c r="J4" i="9" s="1"/>
  <c r="G20" i="9"/>
  <c r="G33" i="9" s="1"/>
  <c r="L35" i="9"/>
  <c r="K4" i="9"/>
  <c r="H37" i="8"/>
  <c r="J13" i="8"/>
  <c r="C38" i="9"/>
  <c r="C39" i="9" s="1"/>
  <c r="H15" i="8"/>
  <c r="K13" i="8"/>
  <c r="L4" i="9" l="1"/>
  <c r="L20" i="9" s="1"/>
  <c r="L33" i="9" s="1"/>
  <c r="H20" i="9"/>
  <c r="H33" i="9" s="1"/>
  <c r="K20" i="9"/>
  <c r="J37" i="8"/>
  <c r="K37" i="8"/>
  <c r="D28" i="8"/>
  <c r="D33" i="8" s="1"/>
  <c r="D34" i="8" s="1"/>
  <c r="D54" i="5"/>
  <c r="H34" i="9" l="1"/>
  <c r="H36" i="9" s="1"/>
  <c r="L34" i="9"/>
  <c r="L36" i="9" s="1"/>
  <c r="D31" i="8"/>
  <c r="D3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tc={BBD0492A-FB9A-4A42-8A60-4EC1C4DB7985}</author>
  </authors>
  <commentList>
    <comment ref="C37" authorId="0" shapeId="0" xr:uid="{BBD0492A-FB9A-4A42-8A60-4EC1C4DB7985}">
      <text>
        <t>[Threaded comment]
Your version of Excel allows you to read this threaded comment; however, any edits to it will get removed if the file is opened in a newer version of Excel. Learn more: https://go.microsoft.com/fwlink/?linkid=870924
Comment:
    This is last years- need to do this years formula when I know staff costs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tc={7F765061-3596-407B-8D32-BB3A5307F4CD}</author>
    <author>tc={18586608-5A14-405D-AA6F-7622280A8FDD}</author>
  </authors>
  <commentList>
    <comment ref="D25" authorId="0" shapeId="0" xr:uid="{7F765061-3596-407B-8D32-BB3A5307F4CD}">
      <text>
        <t>[Threaded comment]
Your version of Excel allows you to read this threaded comment; however, any edits to it will get removed if the file is opened in a newer version of Excel. Learn more: https://go.microsoft.com/fwlink/?linkid=870924
Comment:
    £997 of this should be for 2025/26</t>
      </text>
    </comment>
    <comment ref="F25" authorId="1" shapeId="0" xr:uid="{18586608-5A14-405D-AA6F-7622280A8FDD}">
      <text>
        <t>[Threaded comment]
Your version of Excel allows you to read this threaded comment; however, any edits to it will get removed if the file is opened in a newer version of Excel. Learn more: https://go.microsoft.com/fwlink/?linkid=870924
Comment:
    Should be £997.00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tc={345388A5-239E-4707-BA44-1FDEE75DEA43}</author>
    <author>tc={24173E6E-D3E6-42D8-9858-ACF275D437EE}</author>
    <author>tc={C816E3FF-6282-4317-B446-503C062FF4E8}</author>
  </authors>
  <commentList>
    <comment ref="F8" authorId="0" shapeId="0" xr:uid="{345388A5-239E-4707-BA44-1FDEE75DEA43}">
      <text>
        <t>[Threaded comment]
Your version of Excel allows you to read this threaded comment; however, any edits to it will get removed if the file is opened in a newer version of Excel. Learn more: https://go.microsoft.com/fwlink/?linkid=870924
Comment:
    Actual amount 8571 but £4534 was from FG water supply EMR and £1065 for FG tree works EMR</t>
      </text>
    </comment>
    <comment ref="G8" authorId="1" shapeId="0" xr:uid="{24173E6E-D3E6-42D8-9858-ACF275D437EE}">
      <text>
        <t>[Threaded comment]
Your version of Excel allows you to read this threaded comment; however, any edits to it will get removed if the file is opened in a newer version of Excel. Learn more: https://go.microsoft.com/fwlink/?linkid=870924
Comment:
    £33,000 overspend for FG fence</t>
      </text>
    </comment>
    <comment ref="E41" authorId="2" shapeId="0" xr:uid="{C816E3FF-6282-4317-B446-503C062FF4E8}">
      <text>
        <t>[Threaded comment]
Your version of Excel allows you to read this threaded comment; however, any edits to it will get removed if the file is opened in a newer version of Excel. Learn more: https://go.microsoft.com/fwlink/?linkid=870924
Comment:
    £5000 for Windmill common and £7727 for brewery common recharge</t>
      </text>
    </comment>
  </commentList>
</comments>
</file>

<file path=xl/sharedStrings.xml><?xml version="1.0" encoding="utf-8"?>
<sst xmlns="http://schemas.openxmlformats.org/spreadsheetml/2006/main" count="374" uniqueCount="290">
  <si>
    <t>Summary</t>
  </si>
  <si>
    <t>Comments</t>
  </si>
  <si>
    <t>Parish Council Operating Income</t>
  </si>
  <si>
    <t>Administration Operating Costs</t>
  </si>
  <si>
    <t>Grants to other bodies</t>
  </si>
  <si>
    <t>Parish Council Operating Costs</t>
  </si>
  <si>
    <t>Parish Council Operating income less Operating Costs. Transfer to/ (from) General Reserve</t>
  </si>
  <si>
    <t>Total income less expenditure</t>
  </si>
  <si>
    <t>Notes</t>
  </si>
  <si>
    <t>Cemetery Extension</t>
  </si>
  <si>
    <t>Fairground Works</t>
  </si>
  <si>
    <t>Election Expenses</t>
  </si>
  <si>
    <t>Tennis courts</t>
  </si>
  <si>
    <t>Roads, Footpaths &amp; Commons</t>
  </si>
  <si>
    <t>Neighbourhood Plan</t>
  </si>
  <si>
    <t>Total Transfers</t>
  </si>
  <si>
    <t>Total Operating Reserves</t>
  </si>
  <si>
    <t>SMPC Forecast Community Infrastructure Reserves</t>
  </si>
  <si>
    <t>CIL 21/22</t>
  </si>
  <si>
    <t>Community Infrastructure Reserves</t>
  </si>
  <si>
    <t>Total Reserves</t>
  </si>
  <si>
    <t>Total operating costs for the year</t>
  </si>
  <si>
    <t>100 Income</t>
  </si>
  <si>
    <t>Account code</t>
  </si>
  <si>
    <t>Account description</t>
  </si>
  <si>
    <t>Admin Income</t>
  </si>
  <si>
    <t>Wayleave Rental</t>
  </si>
  <si>
    <t>Precept</t>
  </si>
  <si>
    <t>Bank Interest</t>
  </si>
  <si>
    <t>Grants received</t>
  </si>
  <si>
    <t>Cemetery Fees - Burial Plot</t>
  </si>
  <si>
    <t>Cemetery Fees - Cremation Plot</t>
  </si>
  <si>
    <t>Cemetery Fees - Memorial</t>
  </si>
  <si>
    <t>Total Cemetery</t>
  </si>
  <si>
    <t>Fairground Hire Fee</t>
  </si>
  <si>
    <t>Fairground Hire Fee - Annual</t>
  </si>
  <si>
    <t>Fairground Hire - Tennis Courts</t>
  </si>
  <si>
    <t>Total Fairground</t>
  </si>
  <si>
    <t>Parish Council Operating income</t>
  </si>
  <si>
    <t>Total Parish Council Income</t>
  </si>
  <si>
    <t>CHECK</t>
  </si>
  <si>
    <t>Staff Costs</t>
  </si>
  <si>
    <t>Training</t>
  </si>
  <si>
    <t>Chairman's Allowance</t>
  </si>
  <si>
    <t>Election expenses</t>
  </si>
  <si>
    <t>Audit Fee</t>
  </si>
  <si>
    <t>Admin Expenses</t>
  </si>
  <si>
    <t>Insurance costs</t>
  </si>
  <si>
    <t>Annual Subscription</t>
  </si>
  <si>
    <t>Hall Rental</t>
  </si>
  <si>
    <t>Office - Rent, Rates, Utility</t>
  </si>
  <si>
    <t>Bank Charges</t>
  </si>
  <si>
    <t>Remembrance Day Commemoration</t>
  </si>
  <si>
    <t xml:space="preserve">Tennis Court Clubspark </t>
  </si>
  <si>
    <t>Community Award</t>
  </si>
  <si>
    <t>Willink Leisure Centre</t>
  </si>
  <si>
    <t>Grants</t>
  </si>
  <si>
    <t>Total Administration Costs</t>
  </si>
  <si>
    <t>Software / web design</t>
  </si>
  <si>
    <t>Web hosting</t>
  </si>
  <si>
    <t>Newsletters</t>
  </si>
  <si>
    <t>Community Forums</t>
  </si>
  <si>
    <t>Fairground grass cutting</t>
  </si>
  <si>
    <t>Fairground maintenance</t>
  </si>
  <si>
    <t>Dog bin waste disposal</t>
  </si>
  <si>
    <t>Play Equipment Maintenance</t>
  </si>
  <si>
    <t>Fairground lease rental</t>
  </si>
  <si>
    <t>Rent review took place in September 2020 and new rate is £2701. This will next be reviewed when the current lease expires in 2027</t>
  </si>
  <si>
    <t>Cemetery grass cutting</t>
  </si>
  <si>
    <t>Cemetery general maintenance</t>
  </si>
  <si>
    <t>Cemetery lease rental</t>
  </si>
  <si>
    <t>Pillbox general maintenance</t>
  </si>
  <si>
    <t>Footpaths</t>
  </si>
  <si>
    <t>Commons</t>
  </si>
  <si>
    <t>West End Road Car Park</t>
  </si>
  <si>
    <t>Climate and Environment</t>
  </si>
  <si>
    <t xml:space="preserve">Community Grant </t>
  </si>
  <si>
    <t>Fairground Tennis Courts - Annual</t>
  </si>
  <si>
    <t>Pension Admin Charge</t>
  </si>
  <si>
    <t>EMR Election Expenses</t>
  </si>
  <si>
    <t>EMR CIL expenditure</t>
  </si>
  <si>
    <t>EMR Spend</t>
  </si>
  <si>
    <t>EMR Website Spend</t>
  </si>
  <si>
    <t>EMR Cemetery Extension</t>
  </si>
  <si>
    <t>EMR Fairground Maintenance</t>
  </si>
  <si>
    <t xml:space="preserve">Climate and Environment </t>
  </si>
  <si>
    <t>EMR Income</t>
  </si>
  <si>
    <t>Administration</t>
  </si>
  <si>
    <t>EMR Income less Spend</t>
  </si>
  <si>
    <t>EMR Community Infrastructure Levy</t>
  </si>
  <si>
    <t>Donations</t>
  </si>
  <si>
    <t xml:space="preserve">EMR Neighbourhood Plan </t>
  </si>
  <si>
    <t>Transfers to / (from) reserves</t>
  </si>
  <si>
    <t>EMR Tennis Courts</t>
  </si>
  <si>
    <t>EMR Community Grant</t>
  </si>
  <si>
    <t>CIL 22/23</t>
  </si>
  <si>
    <t>TOTAL</t>
  </si>
  <si>
    <t>EMR Climate and Environment</t>
  </si>
  <si>
    <t>CIL EMRs</t>
  </si>
  <si>
    <t>Income 1106</t>
  </si>
  <si>
    <t>Date</t>
  </si>
  <si>
    <t>Detail</t>
  </si>
  <si>
    <t>Approval Details</t>
  </si>
  <si>
    <t>Project Detail</t>
  </si>
  <si>
    <t>PO</t>
  </si>
  <si>
    <t xml:space="preserve">Cost of Wreath and PA </t>
  </si>
  <si>
    <t>Assumes another round of Community Grants an adjustment has been made in Reserves</t>
  </si>
  <si>
    <t>Budgeted Opening Balance if all Approved Amounts are Paid</t>
  </si>
  <si>
    <t>Actual Rialtas CIL EMR Opening Balances</t>
  </si>
  <si>
    <t>Actual Rialtas CIL EMR Year End Closing Balance</t>
  </si>
  <si>
    <t>See sheet 101 Admin for details</t>
  </si>
  <si>
    <t xml:space="preserve">See sheet 100 Income for details. </t>
  </si>
  <si>
    <t>See CIL income sheet 100 Income</t>
  </si>
  <si>
    <t>See Donations income sheet 100 Income</t>
  </si>
  <si>
    <t>CIL &amp; other EMR spending sheet 101 Admin</t>
  </si>
  <si>
    <t>Red = affects other aspects of spreadsheet</t>
  </si>
  <si>
    <t>Defibrilators</t>
  </si>
  <si>
    <t>ASWC/CSW signs</t>
  </si>
  <si>
    <t>Unbudgeted Expenditure</t>
  </si>
  <si>
    <t>101 Administration</t>
  </si>
  <si>
    <t>Community Infrastructure Levy</t>
  </si>
  <si>
    <t>CIL 23/24</t>
  </si>
  <si>
    <t>Mortimer to Burghfield Cycleway and Footpath</t>
  </si>
  <si>
    <r>
      <t>This spreadsheet tracks CIL income and expenditure for each Financial Year, taking into account</t>
    </r>
    <r>
      <rPr>
        <sz val="12"/>
        <color rgb="FF0070C0"/>
        <rFont val="Calibri"/>
        <family val="2"/>
      </rPr>
      <t xml:space="preserve"> </t>
    </r>
    <r>
      <rPr>
        <b/>
        <sz val="12"/>
        <rFont val="Calibri"/>
        <family val="2"/>
      </rPr>
      <t>actual</t>
    </r>
    <r>
      <rPr>
        <sz val="12"/>
        <rFont val="Calibri"/>
        <family val="2"/>
      </rPr>
      <t xml:space="preserve"> </t>
    </r>
    <r>
      <rPr>
        <sz val="12"/>
        <color rgb="FF000000"/>
        <rFont val="Calibri"/>
        <family val="2"/>
      </rPr>
      <t>and</t>
    </r>
    <r>
      <rPr>
        <sz val="12"/>
        <color theme="5" tint="-0.249977111117893"/>
        <rFont val="Calibri"/>
        <family val="2"/>
      </rPr>
      <t xml:space="preserve"> </t>
    </r>
    <r>
      <rPr>
        <b/>
        <sz val="12"/>
        <color theme="4" tint="-0.249977111117893"/>
        <rFont val="Calibri"/>
        <family val="2"/>
      </rPr>
      <t>budgeted</t>
    </r>
    <r>
      <rPr>
        <sz val="12"/>
        <color rgb="FF000000"/>
        <rFont val="Calibri"/>
        <family val="2"/>
      </rPr>
      <t xml:space="preserve"> amounts.</t>
    </r>
  </si>
  <si>
    <t>101 Admin</t>
  </si>
  <si>
    <t>EMR Cycleway and Footpath</t>
  </si>
  <si>
    <t>Scarecrow Trail</t>
  </si>
  <si>
    <t>Community Competition</t>
  </si>
  <si>
    <t>CCTV 4G Annual Charge</t>
  </si>
  <si>
    <t>No current EMR</t>
  </si>
  <si>
    <t>SMPC Committee Budgets 2025/26</t>
  </si>
  <si>
    <t>2025/26 Budget</t>
  </si>
  <si>
    <t xml:space="preserve">Expenditure Approved </t>
  </si>
  <si>
    <t>CIL 24/25</t>
  </si>
  <si>
    <t>EMR Operating Reserves</t>
  </si>
  <si>
    <t xml:space="preserve">Assumes 5 burials - adult residents + 5% increase in fees </t>
  </si>
  <si>
    <t xml:space="preserve">Assumes 6 cremations - adult residents + 5% increase in fees </t>
  </si>
  <si>
    <t>MCC assumes same cost for 24/25</t>
  </si>
  <si>
    <t>Forecast public use of court hire 2024/25 + 5%</t>
  </si>
  <si>
    <t>Assumes memorials for 4 burial  &amp; 6 cremations + 5% increase in fees</t>
  </si>
  <si>
    <t>Assumes 4 full commercial days hire, 4 half days, Fit4Sports and  Little Kickers 33 weeks each + 5% increase in fees</t>
  </si>
  <si>
    <t>Provides for 12 x £3 Lloyds charge, 4 x £40 bank charge and 2 x £28 CHAP charges</t>
  </si>
  <si>
    <t>EMR held - see below.</t>
  </si>
  <si>
    <t>MOR006</t>
  </si>
  <si>
    <t>Amount Paid to Date (4930/EMR 320)  or Committed against a PO</t>
  </si>
  <si>
    <t>Expenditure  Likely to be Spent</t>
  </si>
  <si>
    <t>EMR held for donating to community organisations as per the Community Grant Fund Policy</t>
  </si>
  <si>
    <t>EMR balance for landscaping</t>
  </si>
  <si>
    <t>EMR balance for cycleway</t>
  </si>
  <si>
    <t>EMR held for conservation boards expected to be spent in 2024/25</t>
  </si>
  <si>
    <t>EMR held - see below</t>
  </si>
  <si>
    <t>Operating Reserve</t>
  </si>
  <si>
    <t>General Reserves</t>
  </si>
  <si>
    <t>Calculation for Operating Reserve</t>
  </si>
  <si>
    <t>25% of operating costs</t>
  </si>
  <si>
    <t>New EMR set up in 2024/25. Operating Reserves are held at 25% of annual operating costs (or 3 months) rounded up to the nearest 10k - see C34-C36</t>
  </si>
  <si>
    <t>EMR held for elections</t>
  </si>
  <si>
    <t>EMR held  for tennis court resuracing. It is estimated that £50k will be needed by March 2029</t>
  </si>
  <si>
    <t>Usual annual payment</t>
  </si>
  <si>
    <t>Annual administration cost paid monthly</t>
  </si>
  <si>
    <t>Allows for a 5% increase in costs for 2025/26 &amp; includes: LTA - £147; CIA (gate maintenance, cloud cost and data contract costs) - £771; Stripe charges £240 (average £20.00 a month), emergency call out fee of £86.00</t>
  </si>
  <si>
    <t>EMR held for election expenses. It is assumed that there will not be an election until May 2027</t>
  </si>
  <si>
    <t>Allows for up to 4 x quarterly reviews and updates of website accessibility in line with the Government Design System</t>
  </si>
  <si>
    <t>Provides for hosting, DNS &amp; FB postings and a SSL certificate approx £165.00</t>
  </si>
  <si>
    <t>Allows for 1 x tidy-up cut at the end of winter/beginning of spring, 4 scheduled maintenance cuts and 2 x on demand cuts as requested</t>
  </si>
  <si>
    <t>Ongoing maintenance of fence and border</t>
  </si>
  <si>
    <t>EMR held for costs associated with the Neighbourhod Plan.Any additional funds needed will be approved by Council and transferred from General Reserves</t>
  </si>
  <si>
    <t>Community Committee</t>
  </si>
  <si>
    <t>Budgeted Year End Closing Balance if figures at "J14" &amp; "L14" are spent</t>
  </si>
  <si>
    <t>PLWB Loan Repayment</t>
  </si>
  <si>
    <t>25% of operating costs rounded to the nearest £10k</t>
  </si>
  <si>
    <t>Estate management</t>
  </si>
  <si>
    <t>Planning and Highways</t>
  </si>
  <si>
    <t>Community</t>
  </si>
  <si>
    <t>Total Community Costs</t>
  </si>
  <si>
    <t>Community Operating Costs</t>
  </si>
  <si>
    <t>See sheet 104 Community for details</t>
  </si>
  <si>
    <t>See sheet 301 Estate Management for details</t>
  </si>
  <si>
    <t>See sheet 302 Planning and Highways for details</t>
  </si>
  <si>
    <t>105 Community</t>
  </si>
  <si>
    <t>106 Estate Management</t>
  </si>
  <si>
    <t>107Planning and Highways</t>
  </si>
  <si>
    <t>Planning and highways Operational Costs</t>
  </si>
  <si>
    <t>Total Estate Management Costs</t>
  </si>
  <si>
    <t>Total Planning &amp; Highways Costs</t>
  </si>
  <si>
    <t>Estate Management Operating Costs</t>
  </si>
  <si>
    <t>2024/25 Actual</t>
  </si>
  <si>
    <t>2025/26 Forecast</t>
  </si>
  <si>
    <t>2026/27 Budget</t>
  </si>
  <si>
    <t>2025/26 Forecast vs 2025/26 Budget</t>
  </si>
  <si>
    <t>2026/27 Budget vs 2025/26 Budget</t>
  </si>
  <si>
    <t>2026/27 Budget vs 2025/26 Forecast</t>
  </si>
  <si>
    <t>Notes re 2026/27 Budget Figures</t>
  </si>
  <si>
    <t>SMPC Committee Budgets 2026/27</t>
  </si>
  <si>
    <t>Provides for a 5% increase for 2026/27</t>
  </si>
  <si>
    <t>Maintained at 2025/26 budget level</t>
  </si>
  <si>
    <t xml:space="preserve">Allows for a 2% increase in costs for 2026/27 &amp; includes: NALC; BALC; SLCC x 2; ICCM; Parish Online; and CCB </t>
  </si>
  <si>
    <t>Allows for a 5% increase in costs for 2026/27 &amp; includes Council meeting hall hire and 4 x NAG meetings instead of 2</t>
  </si>
  <si>
    <t>Budget maintained at 2025/26 rate</t>
  </si>
  <si>
    <t>Allows for a 5% increase in costs for 2026/27</t>
  </si>
  <si>
    <t>Garth Hall</t>
  </si>
  <si>
    <t>Allows for a  5% increase on 2025/26 forecast costs</t>
  </si>
  <si>
    <r>
      <t>Current contract includes 12 x monthly fees based on 19 "fortnightly visits" which address a range of activities on an as required basis. SCS work towards defined quality outcomes rather than defined quantity inputs, flexing their work schedule accordingly, to delivery well maintained and attractive grounds at all times of the year. Allows for 2 x one off costs for grazing area cuts at £149.92 per cut</t>
    </r>
    <r>
      <rPr>
        <sz val="10"/>
        <color rgb="FFFF0000"/>
        <rFont val="Arial"/>
        <family val="2"/>
      </rPr>
      <t xml:space="preserve">. </t>
    </r>
    <r>
      <rPr>
        <sz val="10"/>
        <rFont val="Arial"/>
        <family val="2"/>
      </rPr>
      <t>Allows for a  5% increase in costs for Jan, Feb &amp; March 2027</t>
    </r>
  </si>
  <si>
    <t xml:space="preserve">£10,000 has been allowed for  'normal' level of preventive and reactive maintenance and inspection charges. </t>
  </si>
  <si>
    <t>Annual charge for 4G for CCTV - allows for a 5% increase on 2025/26 budgeted costs. Does not allow anything for emergency call out charge or associated hourly labour charge which would be circa £150 and £125 respectively.</t>
  </si>
  <si>
    <t xml:space="preserve">3 x weed applications &amp; 2 x hedge trims of both cemetery and cemetery extension. </t>
  </si>
  <si>
    <t>2025/26 level  incresaed to allow for any additional maintenance work in the cemetery extension</t>
  </si>
  <si>
    <t>Allows for the replacement of defib pads if needed</t>
  </si>
  <si>
    <t>It is assumed that the balance held for the conservation boards will have been spent in 2025/26.</t>
  </si>
  <si>
    <t>An EMR of £50,000 is held for the resurfacing of the courts. It was a stipulation of a Sport England grant, given for the previous court renovations, that money should be saved for this purpose. It is estimated that £50,000 will be required but no expenditure is predicted for 2026/27</t>
  </si>
  <si>
    <t>SMPC Forecast Operating Reserves 2026/27</t>
  </si>
  <si>
    <t>From Rialtas Balance Sheet 01/04/2025</t>
  </si>
  <si>
    <t>Playground equipment</t>
  </si>
  <si>
    <t>Fairground tree works</t>
  </si>
  <si>
    <t>Fairground water supply</t>
  </si>
  <si>
    <t>New EMR Set Up During 2025/26</t>
  </si>
  <si>
    <t>CIL 25/26</t>
  </si>
  <si>
    <t>EMR 337 24/25</t>
  </si>
  <si>
    <t>23/02038 Windmill road</t>
  </si>
  <si>
    <t>Resurfacing of playground equipment</t>
  </si>
  <si>
    <t>Estates 24/07/2025</t>
  </si>
  <si>
    <t>EMR spending sheet 105 Community</t>
  </si>
  <si>
    <t>EMR spending sheet 106 Estate Management</t>
  </si>
  <si>
    <t>EMR spending sheet 107 Planning and Highways</t>
  </si>
  <si>
    <t>Predicted General Reserves at 31/03/2026</t>
  </si>
  <si>
    <t>SMPC Budget 2026/27</t>
  </si>
  <si>
    <t xml:space="preserve">3% increase to budgeted items on grounds read that 2% in Q2 2027. </t>
  </si>
  <si>
    <t>YTD Figures 30/09/2025</t>
  </si>
  <si>
    <t xml:space="preserve">Covers: software services, 1)IT support, Payroll software, general admin expenses. </t>
  </si>
  <si>
    <t>Not needed as withdrawn from agreement</t>
  </si>
  <si>
    <t>EMR set up in 2024/25. No expenditure is predicted for 2025/26.</t>
  </si>
  <si>
    <t xml:space="preserve">Community art competition linked to the Annual Parish Meeting. Number and amount of prizes will be dependent on the number of entrants. Maintained at 2025/26 level. </t>
  </si>
  <si>
    <t>EMR FG tree works</t>
  </si>
  <si>
    <t>EMR FG water supply</t>
  </si>
  <si>
    <t>EMR set up in 25/26 all spent and wont be needed for 26/27</t>
  </si>
  <si>
    <t>EMR Playground Equipment</t>
  </si>
  <si>
    <t>Bus Shelters</t>
  </si>
  <si>
    <t>New Code</t>
  </si>
  <si>
    <t>Cross Border Development WP</t>
  </si>
  <si>
    <t>New code: Budget for 350 houses development Working Party Legal fees plus admin expenses, plus marketing</t>
  </si>
  <si>
    <t xml:space="preserve">Budget for Community Committee reduced to include scarecrow and community competion. </t>
  </si>
  <si>
    <t xml:space="preserve">General reserve </t>
  </si>
  <si>
    <t>EMR Bus Shelter</t>
  </si>
  <si>
    <t>EMR Bus shelter</t>
  </si>
  <si>
    <t>2025/26 grant to Mortimer Hobby Hall</t>
  </si>
  <si>
    <t>Assumes spend of whole EMR in 2026/27</t>
  </si>
  <si>
    <t>Assumes cem extn finished in 2025/26 based off outstanding POs EMR overspend of £2,128</t>
  </si>
  <si>
    <t>As at 30/09/25</t>
  </si>
  <si>
    <t>movement YTD</t>
  </si>
  <si>
    <t>Forecast movement</t>
  </si>
  <si>
    <t>New</t>
  </si>
  <si>
    <t>Budget 26/27</t>
  </si>
  <si>
    <t>Reserve movmenat</t>
  </si>
  <si>
    <t>`</t>
  </si>
  <si>
    <t>from underlying</t>
  </si>
  <si>
    <t>community</t>
  </si>
  <si>
    <t>Estate</t>
  </si>
  <si>
    <t>P&amp;H</t>
  </si>
  <si>
    <t>cil</t>
  </si>
  <si>
    <t>Cil abatement</t>
  </si>
  <si>
    <t>FUL 9 Windmill Road</t>
  </si>
  <si>
    <t>Resin for Utility square footpath</t>
  </si>
  <si>
    <t>1 x 2000 newsletter based on the price of Summer 2025 newsletter of £672 plus 5%, plus monthly bulletins of 150 at £84</t>
  </si>
  <si>
    <t>revised march 26 reserves</t>
  </si>
  <si>
    <t>Budget Movment</t>
  </si>
  <si>
    <t>proposed year end transfer</t>
  </si>
  <si>
    <t>EMR held for bus shelter procurement and 5 year maintenance</t>
  </si>
  <si>
    <t>EMR spent</t>
  </si>
  <si>
    <t>EMR held for Greening Campaign and other relevant projects transferred back to gen res</t>
  </si>
  <si>
    <t xml:space="preserve">EMR held of £7,727 for contribution to WBC for Brewery Common tree work and £5000 Windmill common maintenance </t>
  </si>
  <si>
    <t>Allows for 1) the new Employers NIC rate of 15% on earning above £5,000 2) Employers pension contribution, where applicable, at 3% on earnings above £6,240 3) an annual pay award of 3.2% for all staff 4) a SCP rise for the officers 5) overtime for CiLCA training 10 hours overspill from 2025/26 6) paid overtime for officers for SG additional work plus small buffer.</t>
  </si>
  <si>
    <t>Tower Gardens 23/02392 RESMAJ</t>
  </si>
  <si>
    <t>Kingstreet 24/01212/FUL - might be £0 if offsetting granted</t>
  </si>
  <si>
    <t>Perrins Farm 24/02579 FULMAJ- might be £0 if offsetting granted</t>
  </si>
  <si>
    <t>Mortimer House 25/00112/HOUSE- might be £0 if self build exemption granted</t>
  </si>
  <si>
    <t>The Precept figure is the income needed to balance the difference between the operating income and costs giving a £0 in G16 on the Budget Summary</t>
  </si>
  <si>
    <t xml:space="preserve">Average monthly interest for the first half of 2025/26 was £2,500. Assuming average balance is less due to bank balances decreasing in 2026/27 interest will be less (see notes tab row 78-82), I have been coservative with 3% interest rate for 2026/27.  </t>
  </si>
  <si>
    <t>Fee for Mortimer Tennis Club + 5%.</t>
  </si>
  <si>
    <t>See sheet CIL (Red = figure affected by CIL  tab) Note this could be siginificantly reduced by offsetting or exemptions</t>
  </si>
  <si>
    <t>Officer &amp; Councillor training</t>
  </si>
  <si>
    <t>Increased due to external audit fees increasing</t>
  </si>
  <si>
    <t>Reserved for loan repaymnets if necessary</t>
  </si>
  <si>
    <t>Annual office rent of £3,500 is fixed until 08/08/2025 and then presumed increase of 5%. Also allows for uplift on costs for mobile phones and WiFi hotpsot and Gigaclear and VOIP costs</t>
  </si>
  <si>
    <t>Overspend was agreed in 2025/26 to £8000 Allows for recallibration in 2026/26</t>
  </si>
  <si>
    <t>EMR transferred back to general reserves as decision was made that they are not needed</t>
  </si>
  <si>
    <r>
      <rPr>
        <sz val="10"/>
        <color rgb="FFFF0000"/>
        <rFont val="Arial"/>
        <family val="2"/>
      </rPr>
      <t>£32074.90 spend on Fairground fence in 2025/26.</t>
    </r>
    <r>
      <rPr>
        <sz val="10"/>
        <rFont val="Arial"/>
        <family val="2"/>
      </rPr>
      <t xml:space="preserve"> £12270 has been allowed for: equipment manitenace; annual tennis court clean; electricity; waste collection, remedial works, Christmas tree; water charge; and sundries (i.e. refuse sacks, tools, seed, weedkiller, locks). </t>
    </r>
  </si>
  <si>
    <r>
      <t xml:space="preserve">Current contract includes 16 x grass cut, this includes cemetery extension 16 x grass cuts. Allows for maintenance of cemetery extension.                                                                                      </t>
    </r>
    <r>
      <rPr>
        <sz val="10"/>
        <color rgb="FFFF0000"/>
        <rFont val="Arial"/>
        <family val="2"/>
      </rPr>
      <t xml:space="preserve">  </t>
    </r>
  </si>
  <si>
    <t>Assumes no CIL expenditure in 2026/27</t>
  </si>
  <si>
    <t>Assumes no expenditure 2026/27</t>
  </si>
  <si>
    <t>Assumes remainder of budget will be spent in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</si>
</sst>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_(* #,##0.00_);_(* \(#,##0.00\);_(* &quot;-&quot;??_);_(@_)"/>
    <numFmt numFmtId="165" formatCode="_(* #,##0_);_(* \(#,##0\);_(* &quot;-&quot;??_);_(@_)"/>
    <numFmt numFmtId="166" formatCode="&quot;£&quot;#,##0.00"/>
    <numFmt numFmtId="167" formatCode="&quot;£&quot;#,##0"/>
  </numFmts>
  <fonts count="9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name val="Arial"/>
      <family val="2"/>
    </font>
    <font>
      <b/>
      <sz val="12"/>
      <name val="Arial"/>
      <family val="2"/>
    </font>
    <font>
      <b/>
      <sz val="16"/>
      <color rgb="FF000000"/>
      <name val="Arial"/>
      <family val="2"/>
    </font>
    <font>
      <b/>
      <sz val="12"/>
      <color rgb="FF000000"/>
      <name val="Arial"/>
      <family val="2"/>
    </font>
    <font>
      <sz val="12"/>
      <color rgb="FF000000"/>
      <name val="Arial"/>
      <family val="2"/>
    </font>
    <font>
      <sz val="8"/>
      <name val="Calibri"/>
      <family val="2"/>
      <scheme val="minor"/>
    </font>
    <font>
      <sz val="12"/>
      <color theme="1"/>
      <name val="Arial"/>
      <family val="2"/>
    </font>
    <font>
      <u/>
      <sz val="12"/>
      <color theme="10"/>
      <name val="Calibri"/>
      <family val="2"/>
      <scheme val="minor"/>
    </font>
    <font>
      <u/>
      <sz val="12"/>
      <color theme="11"/>
      <name val="Calibri"/>
      <family val="2"/>
      <scheme val="minor"/>
    </font>
    <font>
      <sz val="12"/>
      <color indexed="8"/>
      <name val="Calibri"/>
      <family val="2"/>
    </font>
    <font>
      <b/>
      <sz val="12"/>
      <color indexed="8"/>
      <name val="Arial"/>
      <family val="2"/>
    </font>
    <font>
      <sz val="12"/>
      <color indexed="8"/>
      <name val="Arial"/>
      <family val="2"/>
    </font>
    <font>
      <b/>
      <sz val="12"/>
      <color theme="1"/>
      <name val="Arial"/>
      <family val="2"/>
    </font>
    <font>
      <b/>
      <i/>
      <sz val="12"/>
      <color rgb="FF000000"/>
      <name val="Arial"/>
      <family val="2"/>
    </font>
    <font>
      <sz val="12"/>
      <color rgb="FFFF0000"/>
      <name val="Arial"/>
      <family val="2"/>
    </font>
    <font>
      <b/>
      <sz val="14"/>
      <color theme="1"/>
      <name val="Arial"/>
      <family val="2"/>
    </font>
    <font>
      <b/>
      <sz val="12"/>
      <color rgb="FFFF0000"/>
      <name val="Arial"/>
      <family val="2"/>
    </font>
    <font>
      <sz val="12"/>
      <color rgb="FFFF0000"/>
      <name val="Calibri"/>
      <family val="2"/>
      <scheme val="minor"/>
    </font>
    <font>
      <sz val="12"/>
      <color rgb="FF00B050"/>
      <name val="Arial"/>
      <family val="2"/>
    </font>
    <font>
      <sz val="12"/>
      <color theme="9" tint="-0.249977111117893"/>
      <name val="Arial"/>
      <family val="2"/>
    </font>
    <font>
      <sz val="12"/>
      <color theme="9" tint="-0.249977111117893"/>
      <name val="Calibri"/>
      <family val="2"/>
      <scheme val="minor"/>
    </font>
    <font>
      <b/>
      <sz val="16"/>
      <name val="Arial"/>
      <family val="2"/>
    </font>
    <font>
      <b/>
      <i/>
      <sz val="12"/>
      <name val="Arial"/>
      <family val="2"/>
    </font>
    <font>
      <sz val="10"/>
      <name val="Arial"/>
      <family val="2"/>
    </font>
    <font>
      <b/>
      <sz val="12"/>
      <color rgb="FFFF0000"/>
      <name val="Calibri"/>
      <family val="2"/>
      <scheme val="minor"/>
    </font>
    <font>
      <b/>
      <sz val="12"/>
      <color rgb="FF00B050"/>
      <name val="Arial"/>
      <family val="2"/>
    </font>
    <font>
      <b/>
      <sz val="12"/>
      <color rgb="FF0070C0"/>
      <name val="Arial"/>
      <family val="2"/>
    </font>
    <font>
      <sz val="12"/>
      <color rgb="FF0070C0"/>
      <name val="Arial"/>
      <family val="2"/>
    </font>
    <font>
      <sz val="12"/>
      <name val="Calibri"/>
      <family val="2"/>
      <scheme val="minor"/>
    </font>
    <font>
      <b/>
      <sz val="12"/>
      <color theme="0" tint="-0.249977111117893"/>
      <name val="Arial"/>
      <family val="2"/>
    </font>
    <font>
      <sz val="12"/>
      <color theme="0" tint="-0.249977111117893"/>
      <name val="Arial"/>
      <family val="2"/>
    </font>
    <font>
      <sz val="12"/>
      <color theme="0" tint="-0.249977111117893"/>
      <name val="Calibri"/>
      <family val="2"/>
      <scheme val="minor"/>
    </font>
    <font>
      <b/>
      <sz val="16"/>
      <color rgb="FF000000"/>
      <name val="Calibri"/>
      <family val="2"/>
    </font>
    <font>
      <b/>
      <sz val="12"/>
      <color theme="1"/>
      <name val="Calibri"/>
      <family val="2"/>
      <charset val="238"/>
      <scheme val="minor"/>
    </font>
    <font>
      <sz val="12"/>
      <color rgb="FF0070C0"/>
      <name val="Calibri"/>
      <family val="2"/>
      <scheme val="minor"/>
    </font>
    <font>
      <sz val="12"/>
      <color rgb="FF00B050"/>
      <name val="Calibri"/>
      <family val="2"/>
      <scheme val="minor"/>
    </font>
    <font>
      <b/>
      <sz val="12"/>
      <color theme="0" tint="-0.34998626667073579"/>
      <name val="Arial"/>
      <family val="2"/>
    </font>
    <font>
      <sz val="12"/>
      <color theme="0" tint="-0.34998626667073579"/>
      <name val="Arial"/>
      <family val="2"/>
    </font>
    <font>
      <sz val="12"/>
      <color theme="0" tint="-0.34998626667073579"/>
      <name val="Calibri"/>
      <family val="2"/>
      <scheme val="minor"/>
    </font>
    <font>
      <sz val="12"/>
      <color rgb="FF000000"/>
      <name val="Calibri"/>
      <family val="2"/>
    </font>
    <font>
      <sz val="12"/>
      <color rgb="FF0070C0"/>
      <name val="Calibri"/>
      <family val="2"/>
    </font>
    <font>
      <sz val="11"/>
      <color rgb="FF242424"/>
      <name val="Calibri"/>
      <family val="2"/>
      <scheme val="minor"/>
    </font>
    <font>
      <sz val="12"/>
      <color theme="4"/>
      <name val="Calibri"/>
      <family val="2"/>
      <scheme val="minor"/>
    </font>
    <font>
      <sz val="12"/>
      <color theme="5"/>
      <name val="Calibri"/>
      <family val="2"/>
      <scheme val="minor"/>
    </font>
    <font>
      <b/>
      <sz val="12"/>
      <color theme="5"/>
      <name val="Calibri"/>
      <family val="2"/>
      <scheme val="minor"/>
    </font>
    <font>
      <b/>
      <sz val="12"/>
      <name val="Calibri"/>
      <family val="2"/>
      <scheme val="minor"/>
    </font>
    <font>
      <b/>
      <sz val="12"/>
      <name val="Calibri"/>
      <family val="2"/>
    </font>
    <font>
      <sz val="12"/>
      <name val="Calibri"/>
      <family val="2"/>
    </font>
    <font>
      <sz val="12"/>
      <color theme="5" tint="-0.249977111117893"/>
      <name val="Calibri"/>
      <family val="2"/>
    </font>
    <font>
      <sz val="12"/>
      <color theme="4" tint="-0.249977111117893"/>
      <name val="Calibri"/>
      <family val="2"/>
      <scheme val="minor"/>
    </font>
    <font>
      <b/>
      <sz val="12"/>
      <color theme="4" tint="-0.249977111117893"/>
      <name val="Calibri"/>
      <family val="2"/>
      <scheme val="minor"/>
    </font>
    <font>
      <b/>
      <sz val="12"/>
      <color theme="4" tint="-0.249977111117893"/>
      <name val="Calibri"/>
      <family val="2"/>
      <charset val="238"/>
      <scheme val="minor"/>
    </font>
    <font>
      <b/>
      <sz val="16"/>
      <color theme="9"/>
      <name val="Arial"/>
      <family val="2"/>
    </font>
    <font>
      <b/>
      <sz val="12"/>
      <color theme="4" tint="-0.249977111117893"/>
      <name val="Calibri"/>
      <family val="2"/>
    </font>
    <font>
      <b/>
      <sz val="14"/>
      <name val="Arial"/>
      <family val="2"/>
    </font>
    <font>
      <b/>
      <sz val="12"/>
      <color theme="1"/>
      <name val="Calibri"/>
      <family val="2"/>
      <scheme val="minor"/>
    </font>
    <font>
      <b/>
      <sz val="8"/>
      <name val="Arial"/>
      <family val="2"/>
    </font>
    <font>
      <b/>
      <sz val="8"/>
      <color rgb="FFFF0000"/>
      <name val="Arial"/>
      <family val="2"/>
    </font>
    <font>
      <sz val="8"/>
      <name val="Arial"/>
      <family val="2"/>
    </font>
    <font>
      <sz val="8"/>
      <color rgb="FF00B050"/>
      <name val="Arial"/>
      <family val="2"/>
    </font>
    <font>
      <b/>
      <sz val="8"/>
      <color theme="0" tint="-0.34998626667073579"/>
      <name val="Arial"/>
      <family val="2"/>
    </font>
    <font>
      <sz val="8"/>
      <color rgb="FFFF0000"/>
      <name val="Calibri"/>
      <family val="2"/>
      <scheme val="minor"/>
    </font>
    <font>
      <sz val="8"/>
      <color theme="0" tint="-0.249977111117893"/>
      <name val="Arial"/>
      <family val="2"/>
    </font>
    <font>
      <sz val="8"/>
      <color theme="0" tint="-0.34998626667073579"/>
      <name val="Arial"/>
      <family val="2"/>
    </font>
    <font>
      <b/>
      <sz val="12"/>
      <color theme="4"/>
      <name val="Calibri"/>
      <family val="2"/>
      <charset val="238"/>
      <scheme val="minor"/>
    </font>
    <font>
      <sz val="12"/>
      <color theme="4"/>
      <name val="Arial"/>
      <family val="2"/>
    </font>
    <font>
      <b/>
      <sz val="12"/>
      <color theme="4"/>
      <name val="Arial"/>
      <family val="2"/>
    </font>
    <font>
      <b/>
      <sz val="12"/>
      <name val="Calibri"/>
      <family val="2"/>
      <charset val="238"/>
      <scheme val="minor"/>
    </font>
    <font>
      <sz val="10"/>
      <name val="Calibri"/>
      <family val="2"/>
      <scheme val="minor"/>
    </font>
    <font>
      <sz val="10"/>
      <color theme="0" tint="-0.34998626667073579"/>
      <name val="Arial"/>
      <family val="2"/>
    </font>
    <font>
      <sz val="10"/>
      <color rgb="FFFF0000"/>
      <name val="Arial"/>
      <family val="2"/>
    </font>
    <font>
      <b/>
      <sz val="10"/>
      <color theme="0" tint="-0.34998626667073579"/>
      <name val="Arial"/>
      <family val="2"/>
    </font>
    <font>
      <sz val="10"/>
      <color theme="1"/>
      <name val="Calibri"/>
      <family val="2"/>
      <scheme val="minor"/>
    </font>
    <font>
      <sz val="10"/>
      <color theme="4" tint="-0.249977111117893"/>
      <name val="Calibri"/>
      <family val="2"/>
      <scheme val="minor"/>
    </font>
    <font>
      <sz val="10"/>
      <color theme="0" tint="-0.249977111117893"/>
      <name val="Arial"/>
      <family val="2"/>
    </font>
    <font>
      <b/>
      <sz val="10"/>
      <color rgb="FFFF0000"/>
      <name val="Arial"/>
      <family val="2"/>
    </font>
    <font>
      <sz val="10"/>
      <color rgb="FF000000"/>
      <name val="Arial"/>
      <family val="2"/>
    </font>
    <font>
      <i/>
      <sz val="10"/>
      <name val="Arial"/>
      <family val="2"/>
    </font>
    <font>
      <i/>
      <sz val="10"/>
      <color theme="0" tint="-0.249977111117893"/>
      <name val="Arial"/>
      <family val="2"/>
    </font>
    <font>
      <i/>
      <sz val="10"/>
      <color theme="0" tint="-0.34998626667073579"/>
      <name val="Arial"/>
      <family val="2"/>
    </font>
    <font>
      <i/>
      <sz val="10"/>
      <color theme="0" tint="-0.34998626667073579"/>
      <name val="Calibri"/>
      <family val="2"/>
      <scheme val="minor"/>
    </font>
    <font>
      <i/>
      <sz val="12"/>
      <color rgb="FFFF0000"/>
      <name val="Arial"/>
      <family val="2"/>
    </font>
    <font>
      <i/>
      <sz val="10"/>
      <color rgb="FFFF0000"/>
      <name val="Arial"/>
      <family val="2"/>
    </font>
    <font>
      <sz val="12"/>
      <color theme="0" tint="-0.499984740745262"/>
      <name val="Arial"/>
      <family val="2"/>
    </font>
    <font>
      <sz val="10"/>
      <color theme="0" tint="-0.499984740745262"/>
      <name val="Arial"/>
      <family val="2"/>
    </font>
    <font>
      <sz val="12"/>
      <color theme="0" tint="-0.499984740745262"/>
      <name val="Calibri"/>
      <family val="2"/>
      <scheme val="minor"/>
    </font>
  </fonts>
  <fills count="13">
    <fill>
      <patternFill patternType="none"/>
    </fill>
    <fill>
      <patternFill patternType="gray125"/>
    </fill>
    <fill>
      <patternFill patternType="solid">
        <fgColor rgb="FFDAEEF3"/>
        <bgColor rgb="FF000000"/>
      </patternFill>
    </fill>
    <fill>
      <patternFill patternType="solid">
        <fgColor theme="8" tint="0.79998168889431442"/>
        <bgColor indexed="64"/>
      </patternFill>
    </fill>
    <fill>
      <patternFill patternType="solid">
        <fgColor rgb="FFDAEEF3"/>
        <bgColor indexed="64"/>
      </patternFill>
    </fill>
    <fill>
      <patternFill patternType="solid">
        <fgColor theme="0" tint="-0.14999847407452621"/>
        <bgColor indexed="64"/>
      </patternFill>
    </fill>
    <fill>
      <patternFill patternType="solid">
        <fgColor theme="8" tint="0.79998168889431442"/>
        <bgColor rgb="FF000000"/>
      </patternFill>
    </fill>
    <fill>
      <patternFill patternType="solid">
        <fgColor rgb="FFDDEBF7"/>
        <bgColor indexed="64"/>
      </patternFill>
    </fill>
    <fill>
      <patternFill patternType="solid">
        <fgColor theme="2"/>
        <bgColor indexed="64"/>
      </patternFill>
    </fill>
    <fill>
      <patternFill patternType="solid">
        <fgColor rgb="FFFF0000"/>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5" tint="0.79998168889431442"/>
        <bgColor indexed="64"/>
      </patternFill>
    </fill>
  </fills>
  <borders count="64">
    <border>
      <left/>
      <right/>
      <top/>
      <bottom/>
      <diagonal/>
    </border>
    <border>
      <left style="thin">
        <color rgb="FF000000"/>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rgb="FF000000"/>
      </left>
      <right/>
      <top style="thin">
        <color rgb="FF000000"/>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diagonal/>
    </border>
    <border>
      <left style="thin">
        <color rgb="FF000000"/>
      </left>
      <right/>
      <top style="medium">
        <color auto="1"/>
      </top>
      <bottom/>
      <diagonal/>
    </border>
    <border>
      <left/>
      <right style="medium">
        <color auto="1"/>
      </right>
      <top style="thin">
        <color rgb="FF000000"/>
      </top>
      <bottom style="medium">
        <color auto="1"/>
      </bottom>
      <diagonal/>
    </border>
    <border>
      <left/>
      <right/>
      <top style="thin">
        <color rgb="FF000000"/>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rgb="FF000000"/>
      </top>
      <bottom style="medium">
        <color auto="1"/>
      </bottom>
      <diagonal/>
    </border>
    <border>
      <left style="medium">
        <color auto="1"/>
      </left>
      <right style="thin">
        <color auto="1"/>
      </right>
      <top style="thin">
        <color auto="1"/>
      </top>
      <bottom style="medium">
        <color auto="1"/>
      </bottom>
      <diagonal/>
    </border>
    <border>
      <left style="thin">
        <color rgb="FF000000"/>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bottom style="medium">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rgb="FF000000"/>
      </right>
      <top style="thin">
        <color indexed="64"/>
      </top>
      <bottom/>
      <diagonal/>
    </border>
    <border>
      <left/>
      <right style="thin">
        <color indexed="64"/>
      </right>
      <top style="thin">
        <color indexed="64"/>
      </top>
      <bottom/>
      <diagonal/>
    </border>
    <border>
      <left style="thin">
        <color indexed="64"/>
      </left>
      <right style="thin">
        <color rgb="FF000000"/>
      </right>
      <top/>
      <bottom/>
      <diagonal/>
    </border>
    <border>
      <left/>
      <right style="thin">
        <color indexed="64"/>
      </right>
      <top/>
      <bottom/>
      <diagonal/>
    </border>
    <border>
      <left/>
      <right style="thin">
        <color indexed="64"/>
      </right>
      <top/>
      <bottom style="medium">
        <color auto="1"/>
      </bottom>
      <diagonal/>
    </border>
    <border>
      <left style="thin">
        <color indexed="64"/>
      </left>
      <right style="thin">
        <color auto="1"/>
      </right>
      <top style="medium">
        <color auto="1"/>
      </top>
      <bottom/>
      <diagonal/>
    </border>
    <border>
      <left/>
      <right style="thin">
        <color indexed="64"/>
      </right>
      <top style="medium">
        <color auto="1"/>
      </top>
      <bottom/>
      <diagonal/>
    </border>
    <border>
      <left style="thin">
        <color indexed="64"/>
      </left>
      <right style="thin">
        <color auto="1"/>
      </right>
      <top/>
      <bottom style="thin">
        <color auto="1"/>
      </bottom>
      <diagonal/>
    </border>
    <border>
      <left style="thin">
        <color rgb="FF000000"/>
      </left>
      <right/>
      <top style="thin">
        <color auto="1"/>
      </top>
      <bottom style="thin">
        <color indexed="64"/>
      </bottom>
      <diagonal/>
    </border>
  </borders>
  <cellStyleXfs count="286">
    <xf numFmtId="0" fontId="0" fillId="0" borderId="0"/>
    <xf numFmtId="164" fontId="7"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6" fillId="0" borderId="0" applyFont="0" applyFill="0" applyBorder="0" applyAlignment="0" applyProtection="0"/>
    <xf numFmtId="0" fontId="17"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577">
    <xf numFmtId="0" fontId="0" fillId="0" borderId="0" xfId="0"/>
    <xf numFmtId="165" fontId="8" fillId="0" borderId="0" xfId="1" applyNumberFormat="1" applyFont="1" applyFill="1" applyBorder="1"/>
    <xf numFmtId="165" fontId="12" fillId="0" borderId="0" xfId="1" applyNumberFormat="1" applyFont="1" applyFill="1" applyBorder="1" applyAlignment="1">
      <alignment horizontal="left" indent="1"/>
    </xf>
    <xf numFmtId="165" fontId="12" fillId="0" borderId="0" xfId="1" applyNumberFormat="1" applyFont="1" applyFill="1" applyBorder="1"/>
    <xf numFmtId="165" fontId="9" fillId="2" borderId="5" xfId="1" applyNumberFormat="1" applyFont="1" applyFill="1" applyBorder="1"/>
    <xf numFmtId="0" fontId="18" fillId="3" borderId="3" xfId="7" applyFont="1" applyFill="1" applyBorder="1"/>
    <xf numFmtId="165" fontId="19" fillId="0" borderId="0" xfId="1" applyNumberFormat="1" applyFont="1" applyBorder="1"/>
    <xf numFmtId="0" fontId="19" fillId="0" borderId="2" xfId="7" applyFont="1" applyBorder="1"/>
    <xf numFmtId="0" fontId="18" fillId="0" borderId="2" xfId="7" applyFont="1" applyBorder="1"/>
    <xf numFmtId="0" fontId="12" fillId="0" borderId="14" xfId="1" applyNumberFormat="1" applyFont="1" applyFill="1" applyBorder="1" applyAlignment="1">
      <alignment horizontal="center"/>
    </xf>
    <xf numFmtId="165" fontId="12" fillId="0" borderId="0" xfId="1" applyNumberFormat="1" applyFont="1" applyFill="1" applyBorder="1" applyAlignment="1">
      <alignment horizontal="center"/>
    </xf>
    <xf numFmtId="0" fontId="12" fillId="2" borderId="17" xfId="1" applyNumberFormat="1" applyFont="1" applyFill="1" applyBorder="1" applyAlignment="1">
      <alignment horizontal="center"/>
    </xf>
    <xf numFmtId="0" fontId="12" fillId="0" borderId="21" xfId="1" applyNumberFormat="1" applyFont="1" applyFill="1" applyBorder="1" applyAlignment="1">
      <alignment horizontal="center"/>
    </xf>
    <xf numFmtId="165" fontId="9" fillId="0" borderId="0" xfId="1" applyNumberFormat="1" applyFont="1" applyFill="1" applyBorder="1"/>
    <xf numFmtId="0" fontId="11" fillId="0" borderId="14" xfId="1" applyNumberFormat="1" applyFont="1" applyFill="1" applyBorder="1" applyAlignment="1">
      <alignment horizontal="center"/>
    </xf>
    <xf numFmtId="0" fontId="11" fillId="0" borderId="12" xfId="1" applyNumberFormat="1" applyFont="1" applyFill="1" applyBorder="1" applyAlignment="1">
      <alignment horizontal="center"/>
    </xf>
    <xf numFmtId="165" fontId="8" fillId="0" borderId="0" xfId="1" applyNumberFormat="1" applyFont="1" applyFill="1" applyBorder="1" applyAlignment="1">
      <alignment horizontal="left" indent="1"/>
    </xf>
    <xf numFmtId="165" fontId="8" fillId="0" borderId="0" xfId="1" applyNumberFormat="1" applyFont="1" applyFill="1" applyBorder="1" applyAlignment="1">
      <alignment horizontal="left" wrapText="1" indent="1"/>
    </xf>
    <xf numFmtId="165" fontId="9" fillId="2" borderId="19" xfId="1" applyNumberFormat="1" applyFont="1" applyFill="1" applyBorder="1"/>
    <xf numFmtId="0" fontId="12" fillId="0" borderId="29" xfId="1" applyNumberFormat="1" applyFont="1" applyFill="1" applyBorder="1" applyAlignment="1">
      <alignment horizontal="center"/>
    </xf>
    <xf numFmtId="0" fontId="11" fillId="2" borderId="30" xfId="1" applyNumberFormat="1" applyFont="1" applyFill="1" applyBorder="1" applyAlignment="1">
      <alignment horizontal="center"/>
    </xf>
    <xf numFmtId="0" fontId="8" fillId="0" borderId="21" xfId="0" applyFont="1" applyBorder="1" applyAlignment="1">
      <alignment vertical="center" wrapText="1"/>
    </xf>
    <xf numFmtId="0" fontId="9" fillId="4" borderId="32" xfId="0" applyFont="1" applyFill="1" applyBorder="1" applyAlignment="1">
      <alignment vertical="center" wrapText="1"/>
    </xf>
    <xf numFmtId="9" fontId="12" fillId="0" borderId="0" xfId="6" applyFont="1" applyFill="1" applyBorder="1" applyAlignment="1">
      <alignment horizontal="center"/>
    </xf>
    <xf numFmtId="9" fontId="9" fillId="2" borderId="19" xfId="6" applyFont="1" applyFill="1" applyBorder="1" applyAlignment="1">
      <alignment horizontal="center"/>
    </xf>
    <xf numFmtId="0" fontId="11" fillId="0" borderId="21" xfId="1" applyNumberFormat="1" applyFont="1" applyFill="1" applyBorder="1" applyAlignment="1">
      <alignment horizontal="center"/>
    </xf>
    <xf numFmtId="0" fontId="12" fillId="2" borderId="33" xfId="1" applyNumberFormat="1" applyFont="1" applyFill="1" applyBorder="1" applyAlignment="1">
      <alignment horizontal="center"/>
    </xf>
    <xf numFmtId="165" fontId="12" fillId="0" borderId="8" xfId="1" applyNumberFormat="1" applyFont="1" applyFill="1" applyBorder="1" applyAlignment="1">
      <alignment horizontal="left" indent="1"/>
    </xf>
    <xf numFmtId="165" fontId="12" fillId="0" borderId="8" xfId="1" applyNumberFormat="1" applyFont="1" applyFill="1" applyBorder="1"/>
    <xf numFmtId="165" fontId="12" fillId="0" borderId="8" xfId="1" applyNumberFormat="1" applyFont="1" applyFill="1" applyBorder="1" applyAlignment="1">
      <alignment horizontal="center"/>
    </xf>
    <xf numFmtId="165" fontId="8" fillId="0" borderId="4" xfId="1" applyNumberFormat="1" applyFont="1" applyFill="1" applyBorder="1" applyAlignment="1">
      <alignment horizontal="left" wrapText="1" indent="1"/>
    </xf>
    <xf numFmtId="0" fontId="18" fillId="0" borderId="0" xfId="7" applyFont="1"/>
    <xf numFmtId="0" fontId="19" fillId="0" borderId="11" xfId="7" applyFont="1" applyBorder="1"/>
    <xf numFmtId="165" fontId="19" fillId="0" borderId="0" xfId="1" applyNumberFormat="1" applyFont="1" applyFill="1" applyBorder="1"/>
    <xf numFmtId="165" fontId="9" fillId="0" borderId="4" xfId="1" applyNumberFormat="1" applyFont="1" applyFill="1" applyBorder="1"/>
    <xf numFmtId="0" fontId="12" fillId="0" borderId="39" xfId="1" applyNumberFormat="1" applyFont="1" applyFill="1" applyBorder="1" applyAlignment="1">
      <alignment horizontal="center"/>
    </xf>
    <xf numFmtId="0" fontId="11" fillId="0" borderId="31" xfId="1" applyNumberFormat="1" applyFont="1" applyFill="1" applyBorder="1" applyAlignment="1">
      <alignment horizontal="center"/>
    </xf>
    <xf numFmtId="0" fontId="18" fillId="4" borderId="6" xfId="7" applyFont="1" applyFill="1" applyBorder="1"/>
    <xf numFmtId="165" fontId="0" fillId="0" borderId="0" xfId="0" applyNumberFormat="1"/>
    <xf numFmtId="0" fontId="18" fillId="0" borderId="14" xfId="7" applyFont="1" applyBorder="1" applyAlignment="1">
      <alignment horizontal="center"/>
    </xf>
    <xf numFmtId="0" fontId="18" fillId="3" borderId="12" xfId="7" applyFont="1" applyFill="1" applyBorder="1" applyAlignment="1">
      <alignment horizontal="center"/>
    </xf>
    <xf numFmtId="0" fontId="19" fillId="0" borderId="14" xfId="7" applyFont="1" applyBorder="1" applyAlignment="1">
      <alignment horizontal="center"/>
    </xf>
    <xf numFmtId="0" fontId="18" fillId="3" borderId="15" xfId="7" applyFont="1" applyFill="1" applyBorder="1" applyAlignment="1">
      <alignment horizontal="center"/>
    </xf>
    <xf numFmtId="0" fontId="18" fillId="4" borderId="22" xfId="7" applyFont="1" applyFill="1" applyBorder="1" applyAlignment="1">
      <alignment horizontal="center"/>
    </xf>
    <xf numFmtId="49" fontId="12" fillId="0" borderId="0" xfId="1" applyNumberFormat="1" applyFont="1" applyFill="1" applyBorder="1" applyAlignment="1">
      <alignment horizontal="left" indent="1"/>
    </xf>
    <xf numFmtId="49" fontId="8" fillId="0" borderId="2" xfId="1" applyNumberFormat="1" applyFont="1" applyFill="1" applyBorder="1" applyAlignment="1">
      <alignment horizontal="left" indent="1"/>
    </xf>
    <xf numFmtId="49" fontId="8" fillId="0" borderId="2" xfId="0" applyNumberFormat="1" applyFont="1" applyBorder="1" applyAlignment="1">
      <alignment horizontal="left" wrapText="1" indent="1"/>
    </xf>
    <xf numFmtId="49" fontId="9" fillId="2" borderId="18" xfId="0" applyNumberFormat="1" applyFont="1" applyFill="1" applyBorder="1" applyAlignment="1">
      <alignment horizontal="left" wrapText="1" indent="1"/>
    </xf>
    <xf numFmtId="49" fontId="8" fillId="0" borderId="3" xfId="1" applyNumberFormat="1" applyFont="1" applyFill="1" applyBorder="1" applyAlignment="1">
      <alignment horizontal="left" indent="1"/>
    </xf>
    <xf numFmtId="49" fontId="8" fillId="0" borderId="3" xfId="0" applyNumberFormat="1" applyFont="1" applyBorder="1" applyAlignment="1">
      <alignment horizontal="left" wrapText="1" indent="1"/>
    </xf>
    <xf numFmtId="49" fontId="9" fillId="2" borderId="6" xfId="0" applyNumberFormat="1" applyFont="1" applyFill="1" applyBorder="1" applyAlignment="1">
      <alignment horizontal="left" wrapText="1" indent="1"/>
    </xf>
    <xf numFmtId="49" fontId="9" fillId="2" borderId="5" xfId="0" applyNumberFormat="1" applyFont="1" applyFill="1" applyBorder="1" applyAlignment="1">
      <alignment horizontal="left" wrapText="1" indent="1"/>
    </xf>
    <xf numFmtId="49" fontId="9" fillId="2" borderId="28" xfId="0" applyNumberFormat="1" applyFont="1" applyFill="1" applyBorder="1" applyAlignment="1">
      <alignment horizontal="left" wrapText="1" indent="1"/>
    </xf>
    <xf numFmtId="49" fontId="12" fillId="0" borderId="8" xfId="1" applyNumberFormat="1" applyFont="1" applyFill="1" applyBorder="1" applyAlignment="1">
      <alignment horizontal="left" indent="1"/>
    </xf>
    <xf numFmtId="49" fontId="9" fillId="2" borderId="34" xfId="0" applyNumberFormat="1" applyFont="1" applyFill="1" applyBorder="1" applyAlignment="1">
      <alignment horizontal="left" wrapText="1" indent="1"/>
    </xf>
    <xf numFmtId="49" fontId="11" fillId="0" borderId="0" xfId="0" applyNumberFormat="1" applyFont="1" applyAlignment="1">
      <alignment horizontal="left" indent="1"/>
    </xf>
    <xf numFmtId="49" fontId="0" fillId="0" borderId="0" xfId="0" applyNumberFormat="1"/>
    <xf numFmtId="49" fontId="9" fillId="2" borderId="28" xfId="0" applyNumberFormat="1" applyFont="1" applyFill="1" applyBorder="1" applyAlignment="1">
      <alignment wrapText="1"/>
    </xf>
    <xf numFmtId="49" fontId="12" fillId="0" borderId="2" xfId="1" applyNumberFormat="1" applyFont="1" applyFill="1" applyBorder="1" applyAlignment="1">
      <alignment horizontal="left" indent="1"/>
    </xf>
    <xf numFmtId="49" fontId="9" fillId="4" borderId="6" xfId="1" applyNumberFormat="1" applyFont="1" applyFill="1" applyBorder="1" applyAlignment="1">
      <alignment horizontal="left" indent="1"/>
    </xf>
    <xf numFmtId="165" fontId="9" fillId="4" borderId="5" xfId="1" applyNumberFormat="1" applyFont="1" applyFill="1" applyBorder="1" applyAlignment="1">
      <alignment horizontal="left" indent="1"/>
    </xf>
    <xf numFmtId="49" fontId="20" fillId="4" borderId="19" xfId="0" applyNumberFormat="1" applyFont="1" applyFill="1" applyBorder="1" applyAlignment="1">
      <alignment horizontal="left" indent="1"/>
    </xf>
    <xf numFmtId="0" fontId="0" fillId="0" borderId="0" xfId="0" applyAlignment="1">
      <alignment horizontal="center"/>
    </xf>
    <xf numFmtId="0" fontId="20" fillId="4" borderId="17" xfId="0" applyFont="1" applyFill="1" applyBorder="1" applyAlignment="1">
      <alignment horizontal="center"/>
    </xf>
    <xf numFmtId="49" fontId="12" fillId="0" borderId="4" xfId="1" applyNumberFormat="1" applyFont="1" applyFill="1" applyBorder="1" applyAlignment="1">
      <alignment horizontal="left" indent="1"/>
    </xf>
    <xf numFmtId="0" fontId="11" fillId="0" borderId="15" xfId="1" applyNumberFormat="1" applyFont="1" applyFill="1" applyBorder="1" applyAlignment="1">
      <alignment horizontal="center"/>
    </xf>
    <xf numFmtId="0" fontId="11" fillId="0" borderId="30" xfId="1" applyNumberFormat="1" applyFont="1" applyFill="1" applyBorder="1" applyAlignment="1">
      <alignment horizontal="center"/>
    </xf>
    <xf numFmtId="49" fontId="8" fillId="0" borderId="4" xfId="0" applyNumberFormat="1" applyFont="1" applyBorder="1" applyAlignment="1">
      <alignment horizontal="left" wrapText="1" indent="1"/>
    </xf>
    <xf numFmtId="165" fontId="9" fillId="3" borderId="19" xfId="1" applyNumberFormat="1" applyFont="1" applyFill="1" applyBorder="1"/>
    <xf numFmtId="165" fontId="9" fillId="0" borderId="4" xfId="1" applyNumberFormat="1" applyFont="1" applyFill="1" applyBorder="1" applyAlignment="1">
      <alignment horizontal="center"/>
    </xf>
    <xf numFmtId="0" fontId="18" fillId="4" borderId="40" xfId="7" applyFont="1" applyFill="1" applyBorder="1" applyAlignment="1">
      <alignment wrapText="1"/>
    </xf>
    <xf numFmtId="0" fontId="20" fillId="0" borderId="14" xfId="0" applyFont="1" applyBorder="1" applyAlignment="1">
      <alignment horizontal="center"/>
    </xf>
    <xf numFmtId="49" fontId="20" fillId="0" borderId="0" xfId="0" applyNumberFormat="1" applyFont="1" applyAlignment="1">
      <alignment horizontal="left" indent="1"/>
    </xf>
    <xf numFmtId="165" fontId="8" fillId="0" borderId="0" xfId="1" applyNumberFormat="1" applyFont="1" applyFill="1" applyBorder="1" applyAlignment="1">
      <alignment horizontal="center"/>
    </xf>
    <xf numFmtId="165" fontId="9" fillId="0" borderId="0" xfId="1" applyNumberFormat="1" applyFont="1" applyFill="1" applyBorder="1" applyAlignment="1">
      <alignment horizontal="left" indent="1"/>
    </xf>
    <xf numFmtId="0" fontId="0" fillId="5" borderId="36" xfId="0" applyFill="1" applyBorder="1"/>
    <xf numFmtId="165" fontId="0" fillId="5" borderId="38" xfId="0" applyNumberFormat="1" applyFill="1" applyBorder="1"/>
    <xf numFmtId="0" fontId="18" fillId="0" borderId="11" xfId="7" applyFont="1" applyBorder="1"/>
    <xf numFmtId="49" fontId="8" fillId="0" borderId="11" xfId="7" applyNumberFormat="1" applyFont="1" applyBorder="1"/>
    <xf numFmtId="49" fontId="19" fillId="0" borderId="11" xfId="7" applyNumberFormat="1" applyFont="1" applyBorder="1"/>
    <xf numFmtId="49" fontId="9" fillId="0" borderId="6" xfId="0" applyNumberFormat="1" applyFont="1" applyBorder="1" applyAlignment="1">
      <alignment horizontal="left" wrapText="1" indent="1"/>
    </xf>
    <xf numFmtId="165" fontId="9" fillId="0" borderId="5" xfId="1" applyNumberFormat="1" applyFont="1" applyFill="1" applyBorder="1"/>
    <xf numFmtId="49" fontId="9" fillId="0" borderId="4" xfId="0" applyNumberFormat="1" applyFont="1" applyBorder="1" applyAlignment="1">
      <alignment horizontal="left" wrapText="1" indent="1"/>
    </xf>
    <xf numFmtId="0" fontId="25" fillId="0" borderId="0" xfId="0" applyFont="1" applyAlignment="1">
      <alignment wrapText="1"/>
    </xf>
    <xf numFmtId="9" fontId="0" fillId="0" borderId="0" xfId="0" applyNumberFormat="1" applyAlignment="1">
      <alignment horizontal="center"/>
    </xf>
    <xf numFmtId="9" fontId="19" fillId="0" borderId="0" xfId="1" applyNumberFormat="1" applyFont="1" applyBorder="1" applyAlignment="1">
      <alignment horizontal="center"/>
    </xf>
    <xf numFmtId="165" fontId="19" fillId="0" borderId="0" xfId="1" applyNumberFormat="1" applyFont="1" applyBorder="1" applyAlignment="1">
      <alignment horizontal="center"/>
    </xf>
    <xf numFmtId="9" fontId="8" fillId="0" borderId="0" xfId="1" applyNumberFormat="1" applyFont="1" applyFill="1" applyBorder="1" applyAlignment="1">
      <alignment horizontal="center"/>
    </xf>
    <xf numFmtId="9" fontId="9" fillId="2" borderId="5" xfId="1" applyNumberFormat="1" applyFont="1" applyFill="1" applyBorder="1" applyAlignment="1">
      <alignment horizontal="center"/>
    </xf>
    <xf numFmtId="9" fontId="9" fillId="4" borderId="5" xfId="1" applyNumberFormat="1" applyFont="1" applyFill="1" applyBorder="1" applyAlignment="1">
      <alignment horizontal="center"/>
    </xf>
    <xf numFmtId="0" fontId="12" fillId="0" borderId="39" xfId="284" applyNumberFormat="1" applyFont="1" applyFill="1" applyBorder="1" applyAlignment="1">
      <alignment horizontal="center"/>
    </xf>
    <xf numFmtId="49" fontId="8" fillId="0" borderId="43" xfId="1" applyNumberFormat="1" applyFont="1" applyFill="1" applyBorder="1" applyAlignment="1">
      <alignment horizontal="left" indent="1"/>
    </xf>
    <xf numFmtId="0" fontId="11" fillId="0" borderId="39" xfId="1" applyNumberFormat="1" applyFont="1" applyFill="1" applyBorder="1" applyAlignment="1">
      <alignment horizontal="center"/>
    </xf>
    <xf numFmtId="165" fontId="9" fillId="3" borderId="5" xfId="1" applyNumberFormat="1" applyFont="1" applyFill="1" applyBorder="1"/>
    <xf numFmtId="165" fontId="26" fillId="0" borderId="0" xfId="1" applyNumberFormat="1" applyFont="1" applyFill="1" applyBorder="1"/>
    <xf numFmtId="165" fontId="24" fillId="0" borderId="0" xfId="1" applyNumberFormat="1" applyFont="1" applyFill="1" applyBorder="1"/>
    <xf numFmtId="0" fontId="28" fillId="0" borderId="0" xfId="0" applyFont="1"/>
    <xf numFmtId="49" fontId="27" fillId="3" borderId="16" xfId="7" applyNumberFormat="1" applyFont="1" applyFill="1" applyBorder="1" applyAlignment="1">
      <alignment wrapText="1"/>
    </xf>
    <xf numFmtId="165" fontId="22" fillId="0" borderId="0" xfId="1" applyNumberFormat="1" applyFont="1" applyFill="1" applyBorder="1"/>
    <xf numFmtId="49" fontId="19" fillId="3" borderId="13" xfId="7" applyNumberFormat="1" applyFont="1" applyFill="1" applyBorder="1" applyAlignment="1">
      <alignment wrapText="1"/>
    </xf>
    <xf numFmtId="49" fontId="9" fillId="3" borderId="24" xfId="1" applyNumberFormat="1" applyFont="1" applyFill="1" applyBorder="1" applyAlignment="1">
      <alignment wrapText="1"/>
    </xf>
    <xf numFmtId="49" fontId="22" fillId="0" borderId="11" xfId="1" applyNumberFormat="1" applyFont="1" applyFill="1" applyBorder="1" applyAlignment="1">
      <alignment horizontal="left" indent="1"/>
    </xf>
    <xf numFmtId="49" fontId="8" fillId="0" borderId="4" xfId="1" applyNumberFormat="1" applyFont="1" applyFill="1" applyBorder="1" applyAlignment="1">
      <alignment horizontal="left" indent="1"/>
    </xf>
    <xf numFmtId="165" fontId="24" fillId="3" borderId="19" xfId="1" applyNumberFormat="1" applyFont="1" applyFill="1" applyBorder="1"/>
    <xf numFmtId="166" fontId="25" fillId="7" borderId="0" xfId="0" applyNumberFormat="1" applyFont="1" applyFill="1"/>
    <xf numFmtId="167" fontId="25" fillId="7" borderId="0" xfId="0" applyNumberFormat="1" applyFont="1" applyFill="1"/>
    <xf numFmtId="2" fontId="32" fillId="7" borderId="0" xfId="0" applyNumberFormat="1" applyFont="1" applyFill="1"/>
    <xf numFmtId="165" fontId="33" fillId="0" borderId="4" xfId="1" applyNumberFormat="1" applyFont="1" applyFill="1" applyBorder="1" applyAlignment="1">
      <alignment horizontal="center"/>
    </xf>
    <xf numFmtId="165" fontId="26" fillId="0" borderId="0" xfId="1" applyNumberFormat="1" applyFont="1" applyFill="1" applyBorder="1" applyAlignment="1">
      <alignment horizontal="center"/>
    </xf>
    <xf numFmtId="165" fontId="35" fillId="0" borderId="0" xfId="1" applyNumberFormat="1" applyFont="1" applyFill="1" applyBorder="1"/>
    <xf numFmtId="0" fontId="36" fillId="0" borderId="0" xfId="0" applyFont="1"/>
    <xf numFmtId="165" fontId="9" fillId="0" borderId="0" xfId="1" applyNumberFormat="1" applyFont="1" applyFill="1" applyBorder="1" applyAlignment="1">
      <alignment horizontal="center"/>
    </xf>
    <xf numFmtId="165" fontId="34" fillId="0" borderId="0" xfId="1" applyNumberFormat="1" applyFont="1" applyFill="1" applyBorder="1"/>
    <xf numFmtId="9" fontId="8" fillId="0" borderId="0" xfId="6" applyFont="1" applyFill="1" applyBorder="1" applyAlignment="1">
      <alignment horizontal="center"/>
    </xf>
    <xf numFmtId="9" fontId="9" fillId="0" borderId="4" xfId="6" applyFont="1" applyFill="1" applyBorder="1" applyAlignment="1">
      <alignment horizontal="center"/>
    </xf>
    <xf numFmtId="9" fontId="9" fillId="0" borderId="0" xfId="6" applyFont="1" applyFill="1" applyBorder="1" applyAlignment="1">
      <alignment horizontal="center"/>
    </xf>
    <xf numFmtId="9" fontId="8" fillId="0" borderId="4" xfId="6" applyFont="1" applyFill="1" applyBorder="1" applyAlignment="1">
      <alignment horizontal="center"/>
    </xf>
    <xf numFmtId="9" fontId="9" fillId="0" borderId="5" xfId="6" applyFont="1" applyFill="1" applyBorder="1" applyAlignment="1">
      <alignment horizontal="center"/>
    </xf>
    <xf numFmtId="9" fontId="9" fillId="2" borderId="5" xfId="6" applyFont="1" applyFill="1" applyBorder="1" applyAlignment="1">
      <alignment horizontal="center"/>
    </xf>
    <xf numFmtId="165" fontId="9" fillId="0" borderId="4" xfId="1" applyNumberFormat="1" applyFont="1" applyFill="1" applyBorder="1" applyAlignment="1">
      <alignment horizontal="left" indent="1"/>
    </xf>
    <xf numFmtId="165" fontId="33" fillId="3" borderId="5" xfId="1" applyNumberFormat="1" applyFont="1" applyFill="1" applyBorder="1" applyAlignment="1">
      <alignment horizontal="left" indent="1"/>
    </xf>
    <xf numFmtId="9" fontId="9" fillId="2" borderId="19" xfId="1" applyNumberFormat="1" applyFont="1" applyFill="1" applyBorder="1" applyAlignment="1">
      <alignment horizontal="center"/>
    </xf>
    <xf numFmtId="164" fontId="8" fillId="0" borderId="0" xfId="1" applyFont="1" applyFill="1" applyBorder="1"/>
    <xf numFmtId="164" fontId="35" fillId="0" borderId="0" xfId="1" applyFont="1" applyFill="1" applyBorder="1"/>
    <xf numFmtId="164" fontId="26" fillId="0" borderId="0" xfId="1" applyFont="1" applyFill="1" applyBorder="1"/>
    <xf numFmtId="49" fontId="8" fillId="0" borderId="0" xfId="1" applyNumberFormat="1" applyFont="1" applyFill="1" applyBorder="1" applyAlignment="1">
      <alignment horizontal="left" indent="1"/>
    </xf>
    <xf numFmtId="49" fontId="38" fillId="0" borderId="2" xfId="1" applyNumberFormat="1" applyFont="1" applyFill="1" applyBorder="1" applyAlignment="1">
      <alignment horizontal="left" indent="1"/>
    </xf>
    <xf numFmtId="165" fontId="38" fillId="0" borderId="0" xfId="1" applyNumberFormat="1" applyFont="1" applyFill="1" applyBorder="1" applyAlignment="1">
      <alignment horizontal="left" indent="1"/>
    </xf>
    <xf numFmtId="165" fontId="38" fillId="0" borderId="0" xfId="1" applyNumberFormat="1" applyFont="1" applyFill="1" applyBorder="1" applyAlignment="1">
      <alignment horizontal="center"/>
    </xf>
    <xf numFmtId="165" fontId="38" fillId="0" borderId="0" xfId="1" applyNumberFormat="1" applyFont="1" applyFill="1" applyBorder="1"/>
    <xf numFmtId="9" fontId="38" fillId="0" borderId="0" xfId="1" applyNumberFormat="1" applyFont="1" applyFill="1" applyBorder="1" applyAlignment="1">
      <alignment horizontal="center"/>
    </xf>
    <xf numFmtId="0" fontId="37" fillId="0" borderId="14" xfId="1" applyNumberFormat="1" applyFont="1" applyFill="1" applyBorder="1" applyAlignment="1">
      <alignment horizontal="center"/>
    </xf>
    <xf numFmtId="0" fontId="39" fillId="0" borderId="0" xfId="0" applyFont="1"/>
    <xf numFmtId="0" fontId="40" fillId="0" borderId="0" xfId="0" applyFont="1" applyAlignment="1">
      <alignment vertical="center"/>
    </xf>
    <xf numFmtId="0" fontId="0" fillId="0" borderId="50" xfId="0" applyBorder="1" applyAlignment="1">
      <alignment vertical="center"/>
    </xf>
    <xf numFmtId="164" fontId="0" fillId="0" borderId="0" xfId="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xf>
    <xf numFmtId="164" fontId="0" fillId="0" borderId="51" xfId="1" applyFont="1" applyBorder="1" applyAlignment="1">
      <alignment horizontal="center" vertical="center"/>
    </xf>
    <xf numFmtId="17" fontId="0" fillId="0" borderId="51" xfId="0" applyNumberFormat="1" applyBorder="1" applyAlignment="1">
      <alignment vertical="center" wrapText="1"/>
    </xf>
    <xf numFmtId="14" fontId="0" fillId="0" borderId="0" xfId="0" applyNumberFormat="1" applyAlignment="1">
      <alignment horizontal="left" vertical="center"/>
    </xf>
    <xf numFmtId="14" fontId="0" fillId="0" borderId="0" xfId="0" applyNumberFormat="1" applyAlignment="1">
      <alignment horizontal="center" vertical="center"/>
    </xf>
    <xf numFmtId="0" fontId="0" fillId="0" borderId="11" xfId="0" applyBorder="1" applyAlignment="1">
      <alignment vertical="center" wrapText="1"/>
    </xf>
    <xf numFmtId="8" fontId="0" fillId="0" borderId="0" xfId="0" applyNumberFormat="1" applyAlignment="1">
      <alignment horizontal="center" vertical="center" wrapText="1"/>
    </xf>
    <xf numFmtId="0" fontId="0" fillId="0" borderId="51" xfId="0" applyBorder="1" applyAlignment="1">
      <alignment vertical="center"/>
    </xf>
    <xf numFmtId="0" fontId="0" fillId="0" borderId="9" xfId="0" applyBorder="1" applyAlignment="1">
      <alignment horizontal="center" vertical="center" wrapText="1"/>
    </xf>
    <xf numFmtId="17" fontId="25" fillId="0" borderId="51" xfId="0" applyNumberFormat="1" applyFont="1" applyBorder="1" applyAlignment="1">
      <alignment vertical="center" wrapText="1"/>
    </xf>
    <xf numFmtId="164" fontId="25" fillId="0" borderId="0" xfId="1" applyFont="1" applyBorder="1" applyAlignment="1">
      <alignment horizontal="center" vertical="center"/>
    </xf>
    <xf numFmtId="15" fontId="25" fillId="0" borderId="0" xfId="0" applyNumberFormat="1" applyFont="1" applyAlignment="1">
      <alignment horizontal="center" vertical="center"/>
    </xf>
    <xf numFmtId="0" fontId="25" fillId="0" borderId="0" xfId="0" applyFont="1" applyAlignment="1">
      <alignment horizontal="center" vertical="center"/>
    </xf>
    <xf numFmtId="0" fontId="25" fillId="0" borderId="51" xfId="0" applyFont="1" applyBorder="1" applyAlignment="1">
      <alignment vertical="center"/>
    </xf>
    <xf numFmtId="0" fontId="25" fillId="0" borderId="51" xfId="0" applyFont="1" applyBorder="1" applyAlignment="1">
      <alignment horizontal="center" vertical="center"/>
    </xf>
    <xf numFmtId="165" fontId="24" fillId="0" borderId="4" xfId="1" applyNumberFormat="1" applyFont="1" applyFill="1" applyBorder="1" applyAlignment="1">
      <alignment horizontal="center"/>
    </xf>
    <xf numFmtId="164" fontId="42" fillId="0" borderId="11" xfId="1" applyFont="1" applyBorder="1" applyAlignment="1">
      <alignment horizontal="center" vertical="center"/>
    </xf>
    <xf numFmtId="164" fontId="42" fillId="0" borderId="51" xfId="1" applyFont="1" applyBorder="1" applyAlignment="1">
      <alignment horizontal="center" vertical="center"/>
    </xf>
    <xf numFmtId="164" fontId="43" fillId="0" borderId="51" xfId="1" applyFont="1" applyBorder="1" applyAlignment="1">
      <alignment horizontal="center" vertical="center"/>
    </xf>
    <xf numFmtId="4" fontId="42" fillId="0" borderId="51" xfId="0" applyNumberFormat="1" applyFont="1" applyBorder="1" applyAlignment="1">
      <alignment horizontal="center" vertical="center"/>
    </xf>
    <xf numFmtId="4" fontId="42" fillId="0" borderId="11" xfId="0" applyNumberFormat="1" applyFont="1" applyBorder="1" applyAlignment="1">
      <alignment horizontal="center" vertical="center"/>
    </xf>
    <xf numFmtId="0" fontId="42" fillId="0" borderId="50" xfId="0" applyFont="1" applyBorder="1" applyAlignment="1">
      <alignment horizontal="center" vertical="center"/>
    </xf>
    <xf numFmtId="0" fontId="42" fillId="0" borderId="51" xfId="0" applyFont="1" applyBorder="1" applyAlignment="1">
      <alignment vertical="center" wrapText="1"/>
    </xf>
    <xf numFmtId="0" fontId="42" fillId="0" borderId="51" xfId="0" applyFont="1" applyBorder="1" applyAlignment="1">
      <alignment vertical="center"/>
    </xf>
    <xf numFmtId="0" fontId="42" fillId="0" borderId="51" xfId="0" applyFont="1" applyBorder="1" applyAlignment="1">
      <alignment horizontal="center" vertical="center"/>
    </xf>
    <xf numFmtId="0" fontId="46" fillId="0" borderId="0" xfId="0" applyFont="1"/>
    <xf numFmtId="165" fontId="45" fillId="0" borderId="0" xfId="1" applyNumberFormat="1" applyFont="1" applyFill="1" applyBorder="1" applyAlignment="1">
      <alignment horizontal="left" indent="1"/>
    </xf>
    <xf numFmtId="9" fontId="45" fillId="0" borderId="0" xfId="1" applyNumberFormat="1" applyFont="1" applyFill="1" applyBorder="1" applyAlignment="1">
      <alignment horizontal="center"/>
    </xf>
    <xf numFmtId="0" fontId="44" fillId="0" borderId="21" xfId="1" applyNumberFormat="1" applyFont="1" applyFill="1" applyBorder="1" applyAlignment="1">
      <alignment horizontal="center"/>
    </xf>
    <xf numFmtId="49" fontId="44" fillId="0" borderId="0" xfId="1" applyNumberFormat="1" applyFont="1" applyFill="1" applyBorder="1" applyAlignment="1">
      <alignment horizontal="left" indent="1"/>
    </xf>
    <xf numFmtId="166" fontId="36" fillId="0" borderId="11" xfId="0" applyNumberFormat="1" applyFont="1" applyBorder="1" applyAlignment="1">
      <alignment horizontal="center" vertical="center"/>
    </xf>
    <xf numFmtId="2" fontId="0" fillId="0" borderId="0" xfId="0" applyNumberFormat="1" applyAlignment="1">
      <alignment vertical="center" wrapText="1"/>
    </xf>
    <xf numFmtId="0" fontId="0" fillId="0" borderId="11" xfId="0" applyBorder="1" applyAlignment="1">
      <alignment horizontal="left" vertical="center" wrapText="1"/>
    </xf>
    <xf numFmtId="0" fontId="47" fillId="0" borderId="0" xfId="0" applyFont="1" applyAlignment="1">
      <alignment vertical="center"/>
    </xf>
    <xf numFmtId="164" fontId="43" fillId="0" borderId="0" xfId="1" applyFont="1" applyBorder="1" applyAlignment="1">
      <alignment horizontal="center" vertical="center"/>
    </xf>
    <xf numFmtId="15" fontId="43" fillId="0" borderId="0" xfId="0" applyNumberFormat="1" applyFont="1" applyAlignment="1">
      <alignment horizontal="center" vertical="center"/>
    </xf>
    <xf numFmtId="0" fontId="43" fillId="0" borderId="11" xfId="0" applyFont="1" applyBorder="1" applyAlignment="1">
      <alignment horizontal="center" vertical="center" wrapText="1"/>
    </xf>
    <xf numFmtId="0" fontId="49" fillId="0" borderId="0" xfId="0" applyFont="1"/>
    <xf numFmtId="0" fontId="5" fillId="0" borderId="0" xfId="0" applyFont="1"/>
    <xf numFmtId="164" fontId="51" fillId="0" borderId="51" xfId="1" applyFont="1" applyBorder="1" applyAlignment="1">
      <alignment horizontal="center" vertical="center" wrapText="1"/>
    </xf>
    <xf numFmtId="0" fontId="52" fillId="0" borderId="0" xfId="0" applyFont="1" applyAlignment="1">
      <alignment horizontal="center" vertical="center" wrapText="1"/>
    </xf>
    <xf numFmtId="164" fontId="51" fillId="0" borderId="0" xfId="1" applyFont="1" applyBorder="1" applyAlignment="1">
      <alignment horizontal="center" vertical="center"/>
    </xf>
    <xf numFmtId="0" fontId="51" fillId="0" borderId="0" xfId="0" applyFont="1"/>
    <xf numFmtId="0" fontId="0" fillId="0" borderId="0" xfId="0" applyAlignment="1">
      <alignment horizontal="right"/>
    </xf>
    <xf numFmtId="165" fontId="12" fillId="0" borderId="0" xfId="1" applyNumberFormat="1" applyFont="1" applyFill="1" applyBorder="1" applyAlignment="1">
      <alignment horizontal="right"/>
    </xf>
    <xf numFmtId="0" fontId="0" fillId="0" borderId="0" xfId="0" applyAlignment="1">
      <alignment horizontal="left" wrapText="1"/>
    </xf>
    <xf numFmtId="0" fontId="0" fillId="0" borderId="0" xfId="0" applyAlignment="1">
      <alignment horizontal="left"/>
    </xf>
    <xf numFmtId="0" fontId="0" fillId="0" borderId="51" xfId="0" applyBorder="1"/>
    <xf numFmtId="164" fontId="36" fillId="0" borderId="11" xfId="1" applyFont="1" applyBorder="1" applyAlignment="1">
      <alignment horizontal="center" vertical="center"/>
    </xf>
    <xf numFmtId="0" fontId="36" fillId="0" borderId="14" xfId="0" applyFont="1" applyBorder="1" applyAlignment="1">
      <alignment horizontal="left" vertical="center" wrapText="1"/>
    </xf>
    <xf numFmtId="2" fontId="36" fillId="0" borderId="0" xfId="0" applyNumberFormat="1" applyFont="1" applyAlignment="1">
      <alignment vertical="center" wrapText="1"/>
    </xf>
    <xf numFmtId="164" fontId="36" fillId="0" borderId="0" xfId="1" applyFont="1" applyBorder="1" applyAlignment="1">
      <alignment horizontal="center" vertical="center"/>
    </xf>
    <xf numFmtId="0" fontId="57" fillId="0" borderId="14" xfId="0" applyFont="1" applyBorder="1" applyAlignment="1">
      <alignment horizontal="left" vertical="center" wrapText="1"/>
    </xf>
    <xf numFmtId="2" fontId="57" fillId="0" borderId="0" xfId="0" applyNumberFormat="1" applyFont="1" applyAlignment="1">
      <alignment vertical="center" wrapText="1"/>
    </xf>
    <xf numFmtId="4" fontId="57" fillId="0" borderId="0" xfId="0" applyNumberFormat="1" applyFont="1" applyAlignment="1">
      <alignment horizontal="center" vertical="center"/>
    </xf>
    <xf numFmtId="4" fontId="57" fillId="0" borderId="11" xfId="0" applyNumberFormat="1" applyFont="1" applyBorder="1" applyAlignment="1">
      <alignment horizontal="center" vertical="center"/>
    </xf>
    <xf numFmtId="4" fontId="57" fillId="0" borderId="51" xfId="0" applyNumberFormat="1" applyFont="1" applyBorder="1" applyAlignment="1">
      <alignment wrapText="1"/>
    </xf>
    <xf numFmtId="14" fontId="41" fillId="8" borderId="52" xfId="0" applyNumberFormat="1" applyFont="1" applyFill="1" applyBorder="1"/>
    <xf numFmtId="0" fontId="41" fillId="8" borderId="23" xfId="0" applyFont="1" applyFill="1" applyBorder="1" applyAlignment="1">
      <alignment horizontal="center"/>
    </xf>
    <xf numFmtId="0" fontId="41" fillId="8" borderId="24" xfId="0" applyFont="1" applyFill="1" applyBorder="1" applyAlignment="1">
      <alignment horizontal="center" wrapText="1"/>
    </xf>
    <xf numFmtId="0" fontId="41" fillId="8" borderId="23" xfId="0" applyFont="1" applyFill="1" applyBorder="1" applyAlignment="1">
      <alignment horizontal="center" wrapText="1"/>
    </xf>
    <xf numFmtId="0" fontId="53" fillId="8" borderId="52" xfId="0" applyFont="1" applyFill="1" applyBorder="1" applyAlignment="1">
      <alignment horizontal="center"/>
    </xf>
    <xf numFmtId="164" fontId="59" fillId="8" borderId="52" xfId="1" applyFont="1" applyFill="1" applyBorder="1" applyAlignment="1">
      <alignment horizontal="center"/>
    </xf>
    <xf numFmtId="164" fontId="53" fillId="8" borderId="24" xfId="1" applyFont="1" applyFill="1" applyBorder="1" applyAlignment="1">
      <alignment horizontal="center"/>
    </xf>
    <xf numFmtId="0" fontId="41" fillId="8" borderId="36" xfId="0" applyFont="1" applyFill="1" applyBorder="1" applyAlignment="1">
      <alignment vertical="center" wrapText="1"/>
    </xf>
    <xf numFmtId="0" fontId="53" fillId="8" borderId="49" xfId="0" applyFont="1" applyFill="1" applyBorder="1" applyAlignment="1">
      <alignment horizontal="center" vertical="center" wrapText="1"/>
    </xf>
    <xf numFmtId="0" fontId="58" fillId="8" borderId="49" xfId="0" applyFont="1" applyFill="1" applyBorder="1" applyAlignment="1">
      <alignment horizontal="center" vertical="center" wrapText="1"/>
    </xf>
    <xf numFmtId="0" fontId="41" fillId="8" borderId="37" xfId="0" applyFont="1" applyFill="1" applyBorder="1" applyAlignment="1">
      <alignment horizontal="center" vertical="center" wrapText="1"/>
    </xf>
    <xf numFmtId="0" fontId="41" fillId="8" borderId="36" xfId="0" applyFont="1" applyFill="1" applyBorder="1" applyAlignment="1">
      <alignment horizontal="center" vertical="center" wrapText="1"/>
    </xf>
    <xf numFmtId="15" fontId="36" fillId="0" borderId="0" xfId="0" applyNumberFormat="1" applyFont="1" applyAlignment="1">
      <alignment horizontal="center" vertical="center"/>
    </xf>
    <xf numFmtId="0" fontId="36" fillId="0" borderId="11" xfId="0" applyFont="1" applyBorder="1" applyAlignment="1">
      <alignment horizontal="center" vertical="center" wrapText="1"/>
    </xf>
    <xf numFmtId="14" fontId="53" fillId="8" borderId="52" xfId="0" applyNumberFormat="1" applyFont="1" applyFill="1" applyBorder="1" applyAlignment="1">
      <alignment vertical="center"/>
    </xf>
    <xf numFmtId="164" fontId="53" fillId="8" borderId="24" xfId="1" applyFont="1" applyFill="1" applyBorder="1" applyAlignment="1">
      <alignment horizontal="center" vertical="center"/>
    </xf>
    <xf numFmtId="164" fontId="53" fillId="8" borderId="52" xfId="1" applyFont="1" applyFill="1" applyBorder="1" applyAlignment="1">
      <alignment horizontal="center" vertical="center"/>
    </xf>
    <xf numFmtId="0" fontId="53" fillId="8" borderId="23" xfId="0" applyFont="1" applyFill="1" applyBorder="1" applyAlignment="1">
      <alignment horizontal="center" vertical="center"/>
    </xf>
    <xf numFmtId="0" fontId="53" fillId="8" borderId="23" xfId="0" applyFont="1" applyFill="1" applyBorder="1" applyAlignment="1">
      <alignment horizontal="center" vertical="center" wrapText="1"/>
    </xf>
    <xf numFmtId="0" fontId="53" fillId="8" borderId="22" xfId="0" applyFont="1" applyFill="1" applyBorder="1" applyAlignment="1">
      <alignment horizontal="center" vertical="center" wrapText="1"/>
    </xf>
    <xf numFmtId="2" fontId="53" fillId="8" borderId="23" xfId="1" applyNumberFormat="1" applyFont="1" applyFill="1" applyBorder="1" applyAlignment="1">
      <alignment horizontal="center" vertical="center"/>
    </xf>
    <xf numFmtId="43" fontId="53" fillId="8" borderId="24" xfId="0" applyNumberFormat="1" applyFont="1" applyFill="1" applyBorder="1" applyAlignment="1">
      <alignment horizontal="center" vertical="center"/>
    </xf>
    <xf numFmtId="164" fontId="58" fillId="8" borderId="52" xfId="1" applyFont="1" applyFill="1" applyBorder="1" applyAlignment="1">
      <alignment horizontal="center"/>
    </xf>
    <xf numFmtId="164" fontId="58" fillId="8" borderId="52" xfId="1" applyFont="1" applyFill="1" applyBorder="1" applyAlignment="1">
      <alignment horizontal="center" vertical="center"/>
    </xf>
    <xf numFmtId="165" fontId="45" fillId="0" borderId="0" xfId="1" applyNumberFormat="1" applyFont="1" applyFill="1" applyBorder="1" applyAlignment="1">
      <alignment horizontal="center"/>
    </xf>
    <xf numFmtId="164" fontId="53" fillId="9" borderId="23" xfId="1" applyFont="1" applyFill="1" applyBorder="1" applyAlignment="1">
      <alignment horizontal="center" vertical="center"/>
    </xf>
    <xf numFmtId="0" fontId="44" fillId="0" borderId="14" xfId="7" applyFont="1" applyBorder="1" applyAlignment="1">
      <alignment horizontal="center"/>
    </xf>
    <xf numFmtId="0" fontId="44" fillId="0" borderId="2" xfId="7" applyFont="1" applyBorder="1"/>
    <xf numFmtId="49" fontId="45" fillId="0" borderId="11" xfId="1" applyNumberFormat="1" applyFont="1" applyFill="1" applyBorder="1"/>
    <xf numFmtId="49" fontId="45" fillId="0" borderId="11" xfId="7" applyNumberFormat="1" applyFont="1" applyBorder="1"/>
    <xf numFmtId="0" fontId="44" fillId="3" borderId="17" xfId="7" applyFont="1" applyFill="1" applyBorder="1" applyAlignment="1">
      <alignment horizontal="center"/>
    </xf>
    <xf numFmtId="49" fontId="45" fillId="0" borderId="0" xfId="1" applyNumberFormat="1" applyFont="1" applyFill="1" applyBorder="1" applyAlignment="1">
      <alignment horizontal="left" indent="1"/>
    </xf>
    <xf numFmtId="10" fontId="45" fillId="0" borderId="0" xfId="1" applyNumberFormat="1" applyFont="1" applyFill="1" applyBorder="1" applyAlignment="1">
      <alignment horizontal="center"/>
    </xf>
    <xf numFmtId="0" fontId="51" fillId="0" borderId="0" xfId="0" applyFont="1" applyAlignment="1">
      <alignment horizontal="center" vertical="center" wrapText="1"/>
    </xf>
    <xf numFmtId="0" fontId="11" fillId="0" borderId="21" xfId="1" applyNumberFormat="1" applyFont="1" applyFill="1" applyBorder="1" applyAlignment="1">
      <alignment horizontal="center" wrapText="1"/>
    </xf>
    <xf numFmtId="0" fontId="9" fillId="0" borderId="14" xfId="7" applyFont="1" applyBorder="1" applyAlignment="1">
      <alignment horizontal="center"/>
    </xf>
    <xf numFmtId="0" fontId="9" fillId="0" borderId="2" xfId="7" applyFont="1" applyBorder="1"/>
    <xf numFmtId="49" fontId="8" fillId="0" borderId="11" xfId="1" applyNumberFormat="1" applyFont="1" applyFill="1" applyBorder="1"/>
    <xf numFmtId="0" fontId="8" fillId="0" borderId="14" xfId="7" applyFont="1" applyBorder="1" applyAlignment="1">
      <alignment horizontal="center"/>
    </xf>
    <xf numFmtId="0" fontId="8" fillId="0" borderId="2" xfId="7" applyFont="1" applyBorder="1"/>
    <xf numFmtId="0" fontId="9" fillId="0" borderId="6" xfId="7" applyFont="1" applyBorder="1"/>
    <xf numFmtId="0" fontId="9" fillId="4" borderId="41" xfId="7" applyFont="1" applyFill="1" applyBorder="1" applyAlignment="1">
      <alignment horizontal="center"/>
    </xf>
    <xf numFmtId="0" fontId="9" fillId="4" borderId="42" xfId="7" applyFont="1" applyFill="1" applyBorder="1"/>
    <xf numFmtId="49" fontId="8" fillId="4" borderId="25" xfId="1" applyNumberFormat="1" applyFont="1" applyFill="1" applyBorder="1"/>
    <xf numFmtId="0" fontId="9" fillId="4" borderId="22" xfId="7" applyFont="1" applyFill="1" applyBorder="1" applyAlignment="1">
      <alignment horizontal="center"/>
    </xf>
    <xf numFmtId="0" fontId="9" fillId="4" borderId="35" xfId="7" applyFont="1" applyFill="1" applyBorder="1"/>
    <xf numFmtId="49" fontId="8" fillId="4" borderId="20" xfId="1" applyNumberFormat="1" applyFont="1" applyFill="1" applyBorder="1"/>
    <xf numFmtId="0" fontId="62" fillId="4" borderId="36" xfId="0" applyFont="1" applyFill="1" applyBorder="1" applyAlignment="1">
      <alignment horizontal="left"/>
    </xf>
    <xf numFmtId="17" fontId="9" fillId="3" borderId="37" xfId="0" applyNumberFormat="1" applyFont="1" applyFill="1" applyBorder="1" applyAlignment="1">
      <alignment horizontal="center" wrapText="1"/>
    </xf>
    <xf numFmtId="49" fontId="9" fillId="0" borderId="0" xfId="0" applyNumberFormat="1" applyFont="1" applyAlignment="1">
      <alignment horizontal="left" indent="1"/>
    </xf>
    <xf numFmtId="0" fontId="9" fillId="0" borderId="14" xfId="0" applyFont="1" applyBorder="1" applyAlignment="1">
      <alignment horizontal="center" wrapText="1"/>
    </xf>
    <xf numFmtId="0" fontId="9" fillId="3" borderId="44" xfId="0" applyFont="1" applyFill="1" applyBorder="1" applyAlignment="1">
      <alignment horizontal="center"/>
    </xf>
    <xf numFmtId="49" fontId="9" fillId="3" borderId="45" xfId="0" applyNumberFormat="1" applyFont="1" applyFill="1" applyBorder="1" applyAlignment="1">
      <alignment horizontal="left" indent="1"/>
    </xf>
    <xf numFmtId="165" fontId="8" fillId="3" borderId="45" xfId="1" applyNumberFormat="1" applyFont="1" applyFill="1" applyBorder="1"/>
    <xf numFmtId="0" fontId="9" fillId="4" borderId="15" xfId="0" applyFont="1" applyFill="1" applyBorder="1" applyAlignment="1">
      <alignment horizontal="center"/>
    </xf>
    <xf numFmtId="49" fontId="9" fillId="4" borderId="5" xfId="0" applyNumberFormat="1" applyFont="1" applyFill="1" applyBorder="1" applyAlignment="1">
      <alignment horizontal="left" indent="1"/>
    </xf>
    <xf numFmtId="0" fontId="36" fillId="0" borderId="0" xfId="0" applyFont="1" applyAlignment="1">
      <alignment horizontal="center"/>
    </xf>
    <xf numFmtId="0" fontId="9" fillId="4" borderId="36" xfId="0" applyFont="1" applyFill="1" applyBorder="1" applyAlignment="1">
      <alignment horizontal="center"/>
    </xf>
    <xf numFmtId="49" fontId="9" fillId="4" borderId="37" xfId="0" applyNumberFormat="1" applyFont="1" applyFill="1" applyBorder="1" applyAlignment="1">
      <alignment horizontal="left" indent="1"/>
    </xf>
    <xf numFmtId="165" fontId="9" fillId="3" borderId="37" xfId="1" applyNumberFormat="1" applyFont="1" applyFill="1" applyBorder="1"/>
    <xf numFmtId="0" fontId="8" fillId="0" borderId="21" xfId="1" applyNumberFormat="1" applyFont="1" applyFill="1" applyBorder="1" applyAlignment="1">
      <alignment horizontal="center"/>
    </xf>
    <xf numFmtId="0" fontId="9" fillId="4" borderId="30" xfId="1" applyNumberFormat="1" applyFont="1" applyFill="1" applyBorder="1" applyAlignment="1">
      <alignment horizontal="center"/>
    </xf>
    <xf numFmtId="49" fontId="9" fillId="4" borderId="5" xfId="1" applyNumberFormat="1" applyFont="1" applyFill="1" applyBorder="1" applyAlignment="1">
      <alignment horizontal="left" wrapText="1" indent="1"/>
    </xf>
    <xf numFmtId="165" fontId="9" fillId="4" borderId="5" xfId="1" applyNumberFormat="1" applyFont="1" applyFill="1" applyBorder="1"/>
    <xf numFmtId="165" fontId="9" fillId="3" borderId="5" xfId="1" applyNumberFormat="1" applyFont="1" applyFill="1" applyBorder="1" applyAlignment="1">
      <alignment horizontal="center"/>
    </xf>
    <xf numFmtId="9" fontId="9" fillId="4" borderId="5" xfId="6" applyFont="1" applyFill="1" applyBorder="1" applyAlignment="1">
      <alignment horizontal="center"/>
    </xf>
    <xf numFmtId="0" fontId="8" fillId="2" borderId="33" xfId="1" applyNumberFormat="1" applyFont="1" applyFill="1" applyBorder="1" applyAlignment="1">
      <alignment horizontal="center"/>
    </xf>
    <xf numFmtId="0" fontId="9" fillId="0" borderId="14" xfId="1" applyNumberFormat="1" applyFont="1" applyFill="1" applyBorder="1" applyAlignment="1">
      <alignment horizontal="center"/>
    </xf>
    <xf numFmtId="49" fontId="8" fillId="0" borderId="42" xfId="1" applyNumberFormat="1" applyFont="1" applyFill="1" applyBorder="1" applyAlignment="1">
      <alignment horizontal="left" indent="1"/>
    </xf>
    <xf numFmtId="165" fontId="8" fillId="0" borderId="0" xfId="1" applyNumberFormat="1" applyFont="1" applyFill="1" applyBorder="1" applyAlignment="1">
      <alignment horizontal="right"/>
    </xf>
    <xf numFmtId="0" fontId="9" fillId="3" borderId="30" xfId="1" applyNumberFormat="1" applyFont="1" applyFill="1" applyBorder="1" applyAlignment="1">
      <alignment horizontal="center"/>
    </xf>
    <xf numFmtId="49" fontId="9" fillId="3" borderId="5" xfId="1" applyNumberFormat="1" applyFont="1" applyFill="1" applyBorder="1" applyAlignment="1">
      <alignment horizontal="left" indent="1"/>
    </xf>
    <xf numFmtId="165" fontId="9" fillId="3" borderId="5" xfId="1" applyNumberFormat="1" applyFont="1" applyFill="1" applyBorder="1" applyAlignment="1">
      <alignment horizontal="left" indent="1"/>
    </xf>
    <xf numFmtId="9" fontId="8" fillId="3" borderId="5" xfId="1" applyNumberFormat="1" applyFont="1" applyFill="1" applyBorder="1" applyAlignment="1">
      <alignment horizontal="center"/>
    </xf>
    <xf numFmtId="0" fontId="8" fillId="2" borderId="17" xfId="1" applyNumberFormat="1" applyFont="1" applyFill="1" applyBorder="1" applyAlignment="1">
      <alignment horizontal="center"/>
    </xf>
    <xf numFmtId="0" fontId="43" fillId="0" borderId="0" xfId="0" applyFont="1"/>
    <xf numFmtId="0" fontId="9" fillId="0" borderId="21" xfId="1" applyNumberFormat="1" applyFont="1" applyFill="1" applyBorder="1" applyAlignment="1">
      <alignment horizontal="center"/>
    </xf>
    <xf numFmtId="0" fontId="8" fillId="0" borderId="31" xfId="1" applyNumberFormat="1" applyFont="1" applyFill="1" applyBorder="1" applyAlignment="1">
      <alignment horizontal="center"/>
    </xf>
    <xf numFmtId="0" fontId="9" fillId="3" borderId="35" xfId="7" applyFont="1" applyFill="1" applyBorder="1"/>
    <xf numFmtId="49" fontId="8" fillId="3" borderId="20" xfId="7" applyNumberFormat="1" applyFont="1" applyFill="1" applyBorder="1"/>
    <xf numFmtId="49" fontId="9" fillId="0" borderId="2" xfId="1" applyNumberFormat="1" applyFont="1" applyFill="1" applyBorder="1" applyAlignment="1">
      <alignment horizontal="left" indent="1"/>
    </xf>
    <xf numFmtId="165" fontId="63" fillId="0" borderId="0" xfId="0" applyNumberFormat="1" applyFont="1"/>
    <xf numFmtId="0" fontId="63" fillId="0" borderId="0" xfId="0" applyFont="1"/>
    <xf numFmtId="17" fontId="36" fillId="0" borderId="0" xfId="0" applyNumberFormat="1" applyFont="1" applyAlignment="1">
      <alignment horizontal="center" vertical="center"/>
    </xf>
    <xf numFmtId="164" fontId="41" fillId="9" borderId="23" xfId="1" applyFont="1" applyFill="1" applyBorder="1" applyAlignment="1">
      <alignment horizontal="center"/>
    </xf>
    <xf numFmtId="0" fontId="36" fillId="0" borderId="11" xfId="0" applyFont="1" applyBorder="1" applyAlignment="1">
      <alignment horizontal="left" vertical="center" wrapText="1"/>
    </xf>
    <xf numFmtId="4" fontId="36" fillId="0" borderId="11" xfId="0" applyNumberFormat="1" applyFont="1" applyBorder="1" applyAlignment="1">
      <alignment horizontal="center" vertical="center"/>
    </xf>
    <xf numFmtId="0" fontId="37" fillId="0" borderId="14" xfId="0" applyFont="1" applyBorder="1" applyAlignment="1">
      <alignment horizontal="center"/>
    </xf>
    <xf numFmtId="0" fontId="32" fillId="0" borderId="0" xfId="0" applyFont="1"/>
    <xf numFmtId="0" fontId="32" fillId="0" borderId="0" xfId="0" applyFont="1" applyAlignment="1">
      <alignment horizontal="right"/>
    </xf>
    <xf numFmtId="165" fontId="64" fillId="0" borderId="0" xfId="1" applyNumberFormat="1" applyFont="1" applyFill="1" applyBorder="1"/>
    <xf numFmtId="165" fontId="68" fillId="0" borderId="0" xfId="1" applyNumberFormat="1" applyFont="1" applyFill="1" applyBorder="1"/>
    <xf numFmtId="165" fontId="66" fillId="0" borderId="0" xfId="1" applyNumberFormat="1" applyFont="1" applyFill="1" applyBorder="1"/>
    <xf numFmtId="49" fontId="66" fillId="0" borderId="11" xfId="0" applyNumberFormat="1" applyFont="1" applyBorder="1" applyAlignment="1">
      <alignment horizontal="left" wrapText="1" indent="1"/>
    </xf>
    <xf numFmtId="49" fontId="65" fillId="4" borderId="20" xfId="0" applyNumberFormat="1" applyFont="1" applyFill="1" applyBorder="1" applyAlignment="1">
      <alignment horizontal="left" indent="1"/>
    </xf>
    <xf numFmtId="0" fontId="13" fillId="0" borderId="0" xfId="0" applyFont="1"/>
    <xf numFmtId="0" fontId="69" fillId="0" borderId="0" xfId="0" applyFont="1"/>
    <xf numFmtId="49" fontId="64" fillId="3" borderId="38" xfId="0" applyNumberFormat="1" applyFont="1" applyFill="1" applyBorder="1" applyAlignment="1">
      <alignment horizontal="left" indent="1"/>
    </xf>
    <xf numFmtId="49" fontId="70" fillId="0" borderId="11" xfId="0" applyNumberFormat="1" applyFont="1" applyBorder="1" applyAlignment="1">
      <alignment horizontal="left" wrapText="1" indent="1"/>
    </xf>
    <xf numFmtId="0" fontId="13" fillId="0" borderId="24" xfId="0" applyFont="1" applyBorder="1"/>
    <xf numFmtId="49" fontId="66" fillId="3" borderId="46" xfId="0" applyNumberFormat="1" applyFont="1" applyFill="1" applyBorder="1" applyAlignment="1">
      <alignment horizontal="left" wrapText="1" indent="1"/>
    </xf>
    <xf numFmtId="49" fontId="64" fillId="4" borderId="16" xfId="0" applyNumberFormat="1" applyFont="1" applyFill="1" applyBorder="1" applyAlignment="1">
      <alignment horizontal="left" indent="1"/>
    </xf>
    <xf numFmtId="49" fontId="13" fillId="0" borderId="0" xfId="0" applyNumberFormat="1" applyFont="1" applyAlignment="1">
      <alignment horizontal="left" indent="1"/>
    </xf>
    <xf numFmtId="49" fontId="64" fillId="4" borderId="38" xfId="0" applyNumberFormat="1" applyFont="1" applyFill="1" applyBorder="1" applyAlignment="1">
      <alignment horizontal="left" indent="1"/>
    </xf>
    <xf numFmtId="165" fontId="67" fillId="0" borderId="0" xfId="1" applyNumberFormat="1" applyFont="1" applyFill="1" applyBorder="1" applyAlignment="1">
      <alignment horizontal="right"/>
    </xf>
    <xf numFmtId="49" fontId="71" fillId="0" borderId="11" xfId="1" applyNumberFormat="1" applyFont="1" applyFill="1" applyBorder="1" applyAlignment="1">
      <alignment horizontal="left" indent="1"/>
    </xf>
    <xf numFmtId="165" fontId="8" fillId="0" borderId="53" xfId="1" applyNumberFormat="1" applyFont="1" applyFill="1" applyBorder="1" applyAlignment="1">
      <alignment horizontal="center"/>
    </xf>
    <xf numFmtId="165" fontId="33" fillId="0" borderId="4" xfId="1" applyNumberFormat="1" applyFont="1" applyFill="1" applyBorder="1" applyAlignment="1">
      <alignment horizontal="right"/>
    </xf>
    <xf numFmtId="165" fontId="26" fillId="0" borderId="43" xfId="1" applyNumberFormat="1" applyFont="1" applyFill="1" applyBorder="1" applyAlignment="1">
      <alignment horizontal="right"/>
    </xf>
    <xf numFmtId="165" fontId="26" fillId="0" borderId="0" xfId="1" applyNumberFormat="1" applyFont="1" applyFill="1" applyBorder="1" applyAlignment="1">
      <alignment horizontal="right"/>
    </xf>
    <xf numFmtId="165" fontId="33" fillId="0" borderId="0" xfId="1" applyNumberFormat="1" applyFont="1" applyFill="1" applyBorder="1" applyAlignment="1">
      <alignment horizontal="right"/>
    </xf>
    <xf numFmtId="165" fontId="33" fillId="0" borderId="43" xfId="1" applyNumberFormat="1" applyFont="1" applyFill="1" applyBorder="1" applyAlignment="1">
      <alignment horizontal="right"/>
    </xf>
    <xf numFmtId="165" fontId="33" fillId="3" borderId="5" xfId="1" applyNumberFormat="1" applyFont="1" applyFill="1" applyBorder="1" applyAlignment="1">
      <alignment horizontal="right"/>
    </xf>
    <xf numFmtId="165" fontId="33" fillId="6" borderId="19" xfId="1" applyNumberFormat="1" applyFont="1" applyFill="1" applyBorder="1" applyAlignment="1">
      <alignment horizontal="right"/>
    </xf>
    <xf numFmtId="165" fontId="11" fillId="0" borderId="4" xfId="1" applyNumberFormat="1" applyFont="1" applyFill="1" applyBorder="1" applyAlignment="1">
      <alignment horizontal="center"/>
    </xf>
    <xf numFmtId="165" fontId="12" fillId="0" borderId="43" xfId="1" applyNumberFormat="1" applyFont="1" applyFill="1" applyBorder="1" applyAlignment="1">
      <alignment horizontal="center"/>
    </xf>
    <xf numFmtId="165" fontId="11" fillId="0" borderId="0" xfId="1" applyNumberFormat="1" applyFont="1" applyFill="1" applyBorder="1" applyAlignment="1">
      <alignment horizontal="center"/>
    </xf>
    <xf numFmtId="165" fontId="9" fillId="0" borderId="43" xfId="1" applyNumberFormat="1" applyFont="1" applyFill="1" applyBorder="1" applyAlignment="1">
      <alignment horizontal="center"/>
    </xf>
    <xf numFmtId="165" fontId="11" fillId="2" borderId="19" xfId="1" applyNumberFormat="1" applyFont="1" applyFill="1" applyBorder="1"/>
    <xf numFmtId="9" fontId="11" fillId="0" borderId="4" xfId="6" applyFont="1" applyFill="1" applyBorder="1" applyAlignment="1">
      <alignment horizontal="center"/>
    </xf>
    <xf numFmtId="9" fontId="11" fillId="0" borderId="0" xfId="6" applyFont="1" applyFill="1" applyBorder="1" applyAlignment="1">
      <alignment horizontal="center"/>
    </xf>
    <xf numFmtId="9" fontId="11" fillId="0" borderId="43" xfId="6" applyFont="1" applyFill="1" applyBorder="1" applyAlignment="1">
      <alignment horizontal="center"/>
    </xf>
    <xf numFmtId="9" fontId="11" fillId="2" borderId="19" xfId="6" applyFont="1" applyFill="1" applyBorder="1" applyAlignment="1">
      <alignment horizontal="center"/>
    </xf>
    <xf numFmtId="10" fontId="8" fillId="0" borderId="0" xfId="1" applyNumberFormat="1" applyFont="1" applyFill="1" applyBorder="1" applyAlignment="1">
      <alignment horizontal="center"/>
    </xf>
    <xf numFmtId="165" fontId="33" fillId="0" borderId="0" xfId="1" applyNumberFormat="1" applyFont="1" applyFill="1" applyBorder="1" applyAlignment="1">
      <alignment horizontal="center"/>
    </xf>
    <xf numFmtId="165" fontId="33" fillId="0" borderId="5" xfId="1" applyNumberFormat="1" applyFont="1" applyFill="1" applyBorder="1"/>
    <xf numFmtId="165" fontId="33" fillId="6" borderId="5" xfId="1" applyNumberFormat="1" applyFont="1" applyFill="1" applyBorder="1"/>
    <xf numFmtId="165" fontId="33" fillId="0" borderId="0" xfId="1" applyNumberFormat="1" applyFont="1" applyFill="1" applyBorder="1"/>
    <xf numFmtId="165" fontId="33" fillId="3" borderId="19" xfId="1" applyNumberFormat="1" applyFont="1" applyFill="1" applyBorder="1"/>
    <xf numFmtId="165" fontId="33" fillId="3" borderId="5" xfId="1" applyNumberFormat="1" applyFont="1" applyFill="1" applyBorder="1" applyAlignment="1">
      <alignment horizontal="center"/>
    </xf>
    <xf numFmtId="165" fontId="33" fillId="6" borderId="19" xfId="1" applyNumberFormat="1" applyFont="1" applyFill="1" applyBorder="1"/>
    <xf numFmtId="165" fontId="11" fillId="0" borderId="4" xfId="1" applyNumberFormat="1" applyFont="1" applyFill="1" applyBorder="1"/>
    <xf numFmtId="165" fontId="33" fillId="0" borderId="4" xfId="1" applyNumberFormat="1" applyFont="1" applyFill="1" applyBorder="1"/>
    <xf numFmtId="9" fontId="9" fillId="2" borderId="23" xfId="6" applyFont="1" applyFill="1" applyBorder="1" applyAlignment="1">
      <alignment horizontal="center"/>
    </xf>
    <xf numFmtId="165" fontId="44" fillId="0" borderId="0" xfId="1" applyNumberFormat="1" applyFont="1" applyFill="1" applyBorder="1"/>
    <xf numFmtId="165" fontId="45" fillId="0" borderId="0" xfId="1" applyNumberFormat="1" applyFont="1" applyFill="1" applyBorder="1"/>
    <xf numFmtId="9" fontId="44" fillId="0" borderId="0" xfId="6" applyFont="1" applyFill="1" applyBorder="1" applyAlignment="1">
      <alignment horizontal="center"/>
    </xf>
    <xf numFmtId="165" fontId="9" fillId="3" borderId="4" xfId="1" applyNumberFormat="1" applyFont="1" applyFill="1" applyBorder="1"/>
    <xf numFmtId="165" fontId="8" fillId="0" borderId="0" xfId="1" applyNumberFormat="1" applyFont="1" applyBorder="1"/>
    <xf numFmtId="165" fontId="9" fillId="4" borderId="43" xfId="1" applyNumberFormat="1" applyFont="1" applyFill="1" applyBorder="1"/>
    <xf numFmtId="165" fontId="9" fillId="4" borderId="19" xfId="1" applyNumberFormat="1" applyFont="1" applyFill="1" applyBorder="1"/>
    <xf numFmtId="165" fontId="9" fillId="4" borderId="23" xfId="1" applyNumberFormat="1" applyFont="1" applyFill="1" applyBorder="1"/>
    <xf numFmtId="49" fontId="8" fillId="0" borderId="0" xfId="0" applyNumberFormat="1" applyFont="1" applyAlignment="1">
      <alignment horizontal="left" wrapText="1" indent="1"/>
    </xf>
    <xf numFmtId="4" fontId="36" fillId="0" borderId="8" xfId="0" applyNumberFormat="1" applyFont="1" applyBorder="1" applyAlignment="1">
      <alignment horizontal="center" vertical="center"/>
    </xf>
    <xf numFmtId="0" fontId="36" fillId="0" borderId="11" xfId="0" applyFont="1" applyBorder="1"/>
    <xf numFmtId="0" fontId="72" fillId="8" borderId="37" xfId="0" applyFont="1" applyFill="1" applyBorder="1" applyAlignment="1">
      <alignment horizontal="center" vertical="center" wrapText="1"/>
    </xf>
    <xf numFmtId="0" fontId="36" fillId="0" borderId="0" xfId="0" applyFont="1" applyAlignment="1">
      <alignment vertical="center" wrapText="1"/>
    </xf>
    <xf numFmtId="2" fontId="50" fillId="0" borderId="0" xfId="0" applyNumberFormat="1" applyFont="1" applyAlignment="1">
      <alignment vertical="center" wrapText="1"/>
    </xf>
    <xf numFmtId="0" fontId="50" fillId="0" borderId="0" xfId="0" applyFont="1"/>
    <xf numFmtId="0" fontId="9" fillId="0" borderId="12" xfId="1" applyNumberFormat="1" applyFont="1" applyFill="1" applyBorder="1" applyAlignment="1">
      <alignment horizontal="center"/>
    </xf>
    <xf numFmtId="165" fontId="34" fillId="0" borderId="4" xfId="1" applyNumberFormat="1" applyFont="1" applyFill="1" applyBorder="1"/>
    <xf numFmtId="165" fontId="34" fillId="0" borderId="5" xfId="1" applyNumberFormat="1" applyFont="1" applyFill="1" applyBorder="1"/>
    <xf numFmtId="165" fontId="34" fillId="2" borderId="5" xfId="1" applyNumberFormat="1" applyFont="1" applyFill="1" applyBorder="1"/>
    <xf numFmtId="165" fontId="73" fillId="0" borderId="0" xfId="1" applyNumberFormat="1" applyFont="1" applyFill="1" applyBorder="1"/>
    <xf numFmtId="165" fontId="74" fillId="3" borderId="5" xfId="1" applyNumberFormat="1" applyFont="1" applyFill="1" applyBorder="1"/>
    <xf numFmtId="165" fontId="74" fillId="3" borderId="19" xfId="1" applyNumberFormat="1" applyFont="1" applyFill="1" applyBorder="1"/>
    <xf numFmtId="165" fontId="34" fillId="3" borderId="5" xfId="1" applyNumberFormat="1" applyFont="1" applyFill="1" applyBorder="1"/>
    <xf numFmtId="165" fontId="34" fillId="3" borderId="5" xfId="1" applyNumberFormat="1" applyFont="1" applyFill="1" applyBorder="1" applyAlignment="1">
      <alignment horizontal="left" indent="1"/>
    </xf>
    <xf numFmtId="165" fontId="74" fillId="0" borderId="0" xfId="1" applyNumberFormat="1" applyFont="1" applyFill="1" applyBorder="1"/>
    <xf numFmtId="165" fontId="34" fillId="3" borderId="19" xfId="1" applyNumberFormat="1" applyFont="1" applyFill="1" applyBorder="1"/>
    <xf numFmtId="165" fontId="34" fillId="0" borderId="4" xfId="1" applyNumberFormat="1" applyFont="1" applyFill="1" applyBorder="1" applyAlignment="1">
      <alignment horizontal="right"/>
    </xf>
    <xf numFmtId="165" fontId="35" fillId="0" borderId="43" xfId="1" applyNumberFormat="1" applyFont="1" applyFill="1" applyBorder="1" applyAlignment="1">
      <alignment horizontal="right"/>
    </xf>
    <xf numFmtId="165" fontId="74" fillId="0" borderId="4" xfId="1" applyNumberFormat="1" applyFont="1" applyFill="1" applyBorder="1" applyAlignment="1">
      <alignment horizontal="right"/>
    </xf>
    <xf numFmtId="165" fontId="35" fillId="0" borderId="0" xfId="1" applyNumberFormat="1" applyFont="1" applyFill="1" applyBorder="1" applyAlignment="1">
      <alignment horizontal="right"/>
    </xf>
    <xf numFmtId="165" fontId="74" fillId="0" borderId="0" xfId="1" applyNumberFormat="1" applyFont="1" applyFill="1" applyBorder="1" applyAlignment="1">
      <alignment horizontal="right"/>
    </xf>
    <xf numFmtId="165" fontId="34" fillId="0" borderId="0" xfId="1" applyNumberFormat="1" applyFont="1" applyFill="1" applyBorder="1" applyAlignment="1">
      <alignment horizontal="right"/>
    </xf>
    <xf numFmtId="165" fontId="34" fillId="0" borderId="43" xfId="1" applyNumberFormat="1" applyFont="1" applyFill="1" applyBorder="1" applyAlignment="1">
      <alignment horizontal="right"/>
    </xf>
    <xf numFmtId="165" fontId="34" fillId="3" borderId="19" xfId="1" applyNumberFormat="1" applyFont="1" applyFill="1" applyBorder="1" applyAlignment="1">
      <alignment horizontal="right"/>
    </xf>
    <xf numFmtId="165" fontId="73" fillId="0" borderId="0" xfId="1" applyNumberFormat="1" applyFont="1" applyFill="1" applyBorder="1" applyAlignment="1">
      <alignment horizontal="right"/>
    </xf>
    <xf numFmtId="165" fontId="74" fillId="3" borderId="5" xfId="1" applyNumberFormat="1" applyFont="1" applyFill="1" applyBorder="1" applyAlignment="1">
      <alignment horizontal="right"/>
    </xf>
    <xf numFmtId="165" fontId="74" fillId="3" borderId="19" xfId="1" applyNumberFormat="1" applyFont="1" applyFill="1" applyBorder="1" applyAlignment="1">
      <alignment horizontal="right"/>
    </xf>
    <xf numFmtId="2" fontId="53" fillId="8" borderId="24" xfId="1" applyNumberFormat="1" applyFont="1" applyFill="1" applyBorder="1" applyAlignment="1">
      <alignment horizontal="center" vertical="center"/>
    </xf>
    <xf numFmtId="165" fontId="34" fillId="3" borderId="4" xfId="1" applyNumberFormat="1" applyFont="1" applyFill="1" applyBorder="1"/>
    <xf numFmtId="165" fontId="35" fillId="0" borderId="0" xfId="1" applyNumberFormat="1" applyFont="1" applyBorder="1"/>
    <xf numFmtId="165" fontId="34" fillId="4" borderId="23" xfId="1" applyNumberFormat="1" applyFont="1" applyFill="1" applyBorder="1"/>
    <xf numFmtId="165" fontId="74" fillId="0" borderId="5" xfId="1" applyNumberFormat="1" applyFont="1" applyFill="1" applyBorder="1"/>
    <xf numFmtId="165" fontId="74" fillId="4" borderId="43" xfId="1" applyNumberFormat="1" applyFont="1" applyFill="1" applyBorder="1"/>
    <xf numFmtId="165" fontId="74" fillId="4" borderId="19" xfId="1" applyNumberFormat="1" applyFont="1" applyFill="1" applyBorder="1"/>
    <xf numFmtId="49" fontId="68" fillId="2" borderId="16" xfId="1" applyNumberFormat="1" applyFont="1" applyFill="1" applyBorder="1" applyAlignment="1">
      <alignment horizontal="left" indent="1"/>
    </xf>
    <xf numFmtId="49" fontId="71" fillId="4" borderId="16" xfId="1" applyNumberFormat="1" applyFont="1" applyFill="1" applyBorder="1" applyAlignment="1">
      <alignment horizontal="left" wrapText="1" indent="1"/>
    </xf>
    <xf numFmtId="49" fontId="71" fillId="2" borderId="20" xfId="1" applyNumberFormat="1" applyFont="1" applyFill="1" applyBorder="1" applyAlignment="1">
      <alignment horizontal="left" indent="1"/>
    </xf>
    <xf numFmtId="165" fontId="33" fillId="3" borderId="19" xfId="1" applyNumberFormat="1" applyFont="1" applyFill="1" applyBorder="1" applyAlignment="1">
      <alignment horizontal="right"/>
    </xf>
    <xf numFmtId="17" fontId="0" fillId="0" borderId="50" xfId="0" applyNumberFormat="1" applyBorder="1" applyAlignment="1">
      <alignment vertical="center" wrapText="1"/>
    </xf>
    <xf numFmtId="17" fontId="0" fillId="0" borderId="52" xfId="0" applyNumberFormat="1" applyBorder="1" applyAlignment="1">
      <alignment vertical="center" wrapText="1"/>
    </xf>
    <xf numFmtId="165" fontId="33" fillId="3" borderId="4" xfId="1" applyNumberFormat="1" applyFont="1" applyFill="1" applyBorder="1"/>
    <xf numFmtId="165" fontId="26" fillId="0" borderId="0" xfId="1" applyNumberFormat="1" applyFont="1" applyBorder="1"/>
    <xf numFmtId="165" fontId="33" fillId="3" borderId="5" xfId="1" applyNumberFormat="1" applyFont="1" applyFill="1" applyBorder="1"/>
    <xf numFmtId="0" fontId="33" fillId="0" borderId="0" xfId="7" applyFont="1"/>
    <xf numFmtId="165" fontId="33" fillId="4" borderId="23" xfId="1" applyNumberFormat="1" applyFont="1" applyFill="1" applyBorder="1"/>
    <xf numFmtId="165" fontId="33" fillId="4" borderId="43" xfId="1" applyNumberFormat="1" applyFont="1" applyFill="1" applyBorder="1"/>
    <xf numFmtId="165" fontId="33" fillId="4" borderId="19" xfId="1" applyNumberFormat="1" applyFont="1" applyFill="1" applyBorder="1"/>
    <xf numFmtId="9" fontId="18" fillId="3" borderId="4" xfId="1" applyNumberFormat="1" applyFont="1" applyFill="1" applyBorder="1" applyAlignment="1">
      <alignment horizontal="center"/>
    </xf>
    <xf numFmtId="9" fontId="18" fillId="0" borderId="0" xfId="1" applyNumberFormat="1" applyFont="1" applyFill="1" applyBorder="1" applyAlignment="1">
      <alignment horizontal="center"/>
    </xf>
    <xf numFmtId="9" fontId="14" fillId="0" borderId="0" xfId="1" applyNumberFormat="1" applyFont="1" applyBorder="1" applyAlignment="1">
      <alignment horizontal="center"/>
    </xf>
    <xf numFmtId="9" fontId="8" fillId="0" borderId="0" xfId="1" applyNumberFormat="1" applyFont="1" applyBorder="1" applyAlignment="1">
      <alignment horizontal="center"/>
    </xf>
    <xf numFmtId="9" fontId="18" fillId="3" borderId="5" xfId="1" applyNumberFormat="1" applyFont="1" applyFill="1" applyBorder="1" applyAlignment="1">
      <alignment horizontal="center"/>
    </xf>
    <xf numFmtId="9" fontId="18" fillId="0" borderId="0" xfId="7" applyNumberFormat="1" applyFont="1" applyAlignment="1">
      <alignment horizontal="center"/>
    </xf>
    <xf numFmtId="9" fontId="24" fillId="4" borderId="23" xfId="1" applyNumberFormat="1" applyFont="1" applyFill="1" applyBorder="1" applyAlignment="1">
      <alignment horizontal="center"/>
    </xf>
    <xf numFmtId="9" fontId="44" fillId="0" borderId="0" xfId="1" applyNumberFormat="1" applyFont="1" applyFill="1" applyBorder="1" applyAlignment="1">
      <alignment horizontal="center"/>
    </xf>
    <xf numFmtId="9" fontId="9" fillId="0" borderId="0" xfId="1" applyNumberFormat="1" applyFont="1" applyFill="1" applyBorder="1" applyAlignment="1">
      <alignment horizontal="center"/>
    </xf>
    <xf numFmtId="9" fontId="9" fillId="0" borderId="5" xfId="1" applyNumberFormat="1" applyFont="1" applyFill="1" applyBorder="1" applyAlignment="1">
      <alignment horizontal="center"/>
    </xf>
    <xf numFmtId="9" fontId="9" fillId="4" borderId="43" xfId="1" applyNumberFormat="1" applyFont="1" applyFill="1" applyBorder="1" applyAlignment="1">
      <alignment horizontal="center"/>
    </xf>
    <xf numFmtId="9" fontId="9" fillId="4" borderId="19" xfId="1" applyNumberFormat="1" applyFont="1" applyFill="1" applyBorder="1" applyAlignment="1">
      <alignment horizontal="center"/>
    </xf>
    <xf numFmtId="9" fontId="44" fillId="0" borderId="0" xfId="7" applyNumberFormat="1" applyFont="1" applyAlignment="1">
      <alignment horizontal="center"/>
    </xf>
    <xf numFmtId="9" fontId="9" fillId="3" borderId="19" xfId="1" applyNumberFormat="1" applyFont="1" applyFill="1" applyBorder="1" applyAlignment="1">
      <alignment horizontal="center"/>
    </xf>
    <xf numFmtId="165" fontId="74" fillId="0" borderId="4" xfId="1" applyNumberFormat="1" applyFont="1" applyFill="1" applyBorder="1"/>
    <xf numFmtId="165" fontId="22" fillId="0" borderId="0" xfId="1" applyNumberFormat="1" applyFont="1" applyFill="1" applyBorder="1" applyAlignment="1">
      <alignment horizontal="center"/>
    </xf>
    <xf numFmtId="0" fontId="0" fillId="0" borderId="0" xfId="0" applyAlignment="1">
      <alignment vertical="center"/>
    </xf>
    <xf numFmtId="17" fontId="0" fillId="0" borderId="0" xfId="0" applyNumberFormat="1"/>
    <xf numFmtId="40" fontId="0" fillId="0" borderId="0" xfId="0" applyNumberFormat="1"/>
    <xf numFmtId="2" fontId="53" fillId="9" borderId="23" xfId="1" applyNumberFormat="1" applyFont="1" applyFill="1" applyBorder="1" applyAlignment="1">
      <alignment horizontal="center" vertical="center"/>
    </xf>
    <xf numFmtId="49" fontId="31" fillId="0" borderId="11" xfId="0" applyNumberFormat="1" applyFont="1" applyBorder="1" applyAlignment="1">
      <alignment horizontal="left" wrapText="1" indent="1"/>
    </xf>
    <xf numFmtId="49" fontId="31" fillId="0" borderId="11" xfId="1" applyNumberFormat="1" applyFont="1" applyFill="1" applyBorder="1" applyAlignment="1">
      <alignment horizontal="left" indent="1"/>
    </xf>
    <xf numFmtId="49" fontId="78" fillId="0" borderId="13" xfId="1" applyNumberFormat="1" applyFont="1" applyFill="1" applyBorder="1" applyAlignment="1">
      <alignment horizontal="left" wrapText="1" indent="1"/>
    </xf>
    <xf numFmtId="49" fontId="78" fillId="0" borderId="11" xfId="1" applyNumberFormat="1" applyFont="1" applyFill="1" applyBorder="1" applyAlignment="1">
      <alignment horizontal="left" wrapText="1" indent="1"/>
    </xf>
    <xf numFmtId="49" fontId="31" fillId="0" borderId="13" xfId="1" applyNumberFormat="1" applyFont="1" applyFill="1" applyBorder="1" applyAlignment="1">
      <alignment horizontal="left" wrapText="1" indent="1"/>
    </xf>
    <xf numFmtId="49" fontId="78" fillId="0" borderId="11" xfId="1" applyNumberFormat="1" applyFont="1" applyFill="1" applyBorder="1" applyAlignment="1">
      <alignment horizontal="left" indent="1"/>
    </xf>
    <xf numFmtId="49" fontId="31" fillId="0" borderId="13" xfId="1" applyNumberFormat="1" applyFont="1" applyFill="1" applyBorder="1" applyAlignment="1">
      <alignment horizontal="left" indent="1"/>
    </xf>
    <xf numFmtId="49" fontId="77" fillId="0" borderId="11" xfId="1" applyNumberFormat="1" applyFont="1" applyFill="1" applyBorder="1" applyAlignment="1">
      <alignment horizontal="left" indent="1"/>
    </xf>
    <xf numFmtId="49" fontId="77" fillId="0" borderId="13" xfId="1" applyNumberFormat="1" applyFont="1" applyFill="1" applyBorder="1" applyAlignment="1">
      <alignment horizontal="left" wrapText="1" indent="1"/>
    </xf>
    <xf numFmtId="49" fontId="31" fillId="0" borderId="11" xfId="1" applyNumberFormat="1" applyFont="1" applyFill="1" applyBorder="1" applyAlignment="1">
      <alignment horizontal="left" wrapText="1" indent="1"/>
    </xf>
    <xf numFmtId="49" fontId="77" fillId="0" borderId="16" xfId="1" applyNumberFormat="1" applyFont="1" applyFill="1" applyBorder="1" applyAlignment="1">
      <alignment horizontal="left" wrapText="1" indent="1"/>
    </xf>
    <xf numFmtId="49" fontId="79" fillId="0" borderId="13" xfId="1" applyNumberFormat="1" applyFont="1" applyFill="1" applyBorder="1" applyAlignment="1">
      <alignment horizontal="left" indent="1"/>
    </xf>
    <xf numFmtId="0" fontId="80" fillId="0" borderId="0" xfId="0" applyFont="1" applyAlignment="1">
      <alignment horizontal="justify" vertical="center"/>
    </xf>
    <xf numFmtId="0" fontId="80" fillId="0" borderId="0" xfId="0" applyFont="1" applyAlignment="1">
      <alignment wrapText="1"/>
    </xf>
    <xf numFmtId="0" fontId="76" fillId="0" borderId="11" xfId="0" applyFont="1" applyBorder="1" applyAlignment="1">
      <alignment horizontal="center" vertical="center" wrapText="1"/>
    </xf>
    <xf numFmtId="0" fontId="76" fillId="0" borderId="0" xfId="0" applyFont="1" applyAlignment="1">
      <alignment horizontal="center" vertical="center" wrapText="1"/>
    </xf>
    <xf numFmtId="0" fontId="76" fillId="0" borderId="0" xfId="0" applyFont="1"/>
    <xf numFmtId="0" fontId="76" fillId="0" borderId="0" xfId="0" applyFont="1" applyAlignment="1">
      <alignment horizontal="center" vertical="center"/>
    </xf>
    <xf numFmtId="0" fontId="80" fillId="0" borderId="8" xfId="0" applyFont="1" applyBorder="1" applyAlignment="1">
      <alignment horizontal="center" vertical="center"/>
    </xf>
    <xf numFmtId="0" fontId="80" fillId="0" borderId="0" xfId="0" applyFont="1"/>
    <xf numFmtId="0" fontId="81" fillId="0" borderId="0" xfId="0" applyFont="1" applyAlignment="1">
      <alignment horizontal="center" vertical="center" wrapText="1"/>
    </xf>
    <xf numFmtId="0" fontId="80" fillId="0" borderId="0" xfId="0" applyFont="1" applyAlignment="1">
      <alignment horizontal="center" vertical="center" wrapText="1"/>
    </xf>
    <xf numFmtId="0" fontId="76" fillId="0" borderId="0" xfId="0" applyFont="1" applyAlignment="1">
      <alignment vertical="center" wrapText="1"/>
    </xf>
    <xf numFmtId="0" fontId="76" fillId="0" borderId="0" xfId="0" applyFont="1" applyAlignment="1">
      <alignment horizontal="left" vertical="center" wrapText="1"/>
    </xf>
    <xf numFmtId="0" fontId="81" fillId="0" borderId="0" xfId="0" applyFont="1" applyAlignment="1">
      <alignment horizontal="left" vertical="center" wrapText="1"/>
    </xf>
    <xf numFmtId="49" fontId="83" fillId="2" borderId="27" xfId="1" applyNumberFormat="1" applyFont="1" applyFill="1" applyBorder="1" applyAlignment="1">
      <alignment horizontal="left" indent="1"/>
    </xf>
    <xf numFmtId="49" fontId="31" fillId="3" borderId="16" xfId="1" applyNumberFormat="1" applyFont="1" applyFill="1" applyBorder="1" applyAlignment="1">
      <alignment horizontal="left" wrapText="1" indent="1"/>
    </xf>
    <xf numFmtId="49" fontId="31" fillId="2" borderId="20" xfId="1" applyNumberFormat="1" applyFont="1" applyFill="1" applyBorder="1" applyAlignment="1">
      <alignment horizontal="left" indent="1"/>
    </xf>
    <xf numFmtId="49" fontId="78" fillId="2" borderId="20" xfId="1" applyNumberFormat="1" applyFont="1" applyFill="1" applyBorder="1" applyAlignment="1">
      <alignment horizontal="left" indent="1"/>
    </xf>
    <xf numFmtId="49" fontId="82" fillId="0" borderId="11" xfId="1" applyNumberFormat="1" applyFont="1" applyFill="1" applyBorder="1" applyAlignment="1">
      <alignment horizontal="left" indent="1"/>
    </xf>
    <xf numFmtId="49" fontId="84" fillId="2" borderId="20" xfId="1" applyNumberFormat="1" applyFont="1" applyFill="1" applyBorder="1" applyAlignment="1">
      <alignment horizontal="left" indent="1"/>
    </xf>
    <xf numFmtId="49" fontId="78" fillId="0" borderId="25" xfId="1" applyNumberFormat="1" applyFont="1" applyFill="1" applyBorder="1" applyAlignment="1">
      <alignment horizontal="left" wrapText="1" indent="1"/>
    </xf>
    <xf numFmtId="2" fontId="0" fillId="0" borderId="0" xfId="6" applyNumberFormat="1" applyFont="1" applyAlignment="1">
      <alignment horizontal="center"/>
    </xf>
    <xf numFmtId="0" fontId="76" fillId="0" borderId="11" xfId="0" applyFont="1" applyBorder="1" applyAlignment="1">
      <alignment horizontal="left" wrapText="1" indent="1"/>
    </xf>
    <xf numFmtId="0" fontId="4" fillId="0" borderId="0" xfId="0" applyFont="1"/>
    <xf numFmtId="0" fontId="3" fillId="0" borderId="0" xfId="0" applyFont="1"/>
    <xf numFmtId="0" fontId="80" fillId="0" borderId="0" xfId="0" applyFont="1" applyAlignment="1">
      <alignment vertical="center" wrapText="1"/>
    </xf>
    <xf numFmtId="0" fontId="75" fillId="9" borderId="23" xfId="0" applyFont="1" applyFill="1" applyBorder="1" applyAlignment="1">
      <alignment horizontal="right" vertical="center"/>
    </xf>
    <xf numFmtId="0" fontId="0" fillId="0" borderId="21" xfId="0" applyBorder="1"/>
    <xf numFmtId="0" fontId="8" fillId="0" borderId="0" xfId="7" applyFont="1"/>
    <xf numFmtId="0" fontId="8" fillId="0" borderId="3" xfId="7" applyFont="1" applyBorder="1" applyAlignment="1">
      <alignment horizontal="center"/>
    </xf>
    <xf numFmtId="0" fontId="2" fillId="0" borderId="0" xfId="0" applyFont="1"/>
    <xf numFmtId="0" fontId="1" fillId="0" borderId="0" xfId="0" applyFont="1"/>
    <xf numFmtId="49" fontId="9" fillId="0" borderId="0" xfId="1" applyNumberFormat="1" applyFont="1" applyFill="1" applyBorder="1" applyAlignment="1">
      <alignment horizontal="left" indent="1"/>
    </xf>
    <xf numFmtId="165" fontId="11" fillId="0" borderId="0" xfId="1" applyNumberFormat="1" applyFont="1" applyFill="1" applyBorder="1"/>
    <xf numFmtId="0" fontId="12" fillId="0" borderId="60" xfId="1" applyNumberFormat="1" applyFont="1" applyFill="1" applyBorder="1" applyAlignment="1">
      <alignment horizontal="center"/>
    </xf>
    <xf numFmtId="49" fontId="12" fillId="0" borderId="61" xfId="1" applyNumberFormat="1" applyFont="1" applyFill="1" applyBorder="1" applyAlignment="1">
      <alignment horizontal="left" indent="1"/>
    </xf>
    <xf numFmtId="0" fontId="11" fillId="0" borderId="2" xfId="1" applyNumberFormat="1" applyFont="1" applyFill="1" applyBorder="1" applyAlignment="1">
      <alignment horizontal="center"/>
    </xf>
    <xf numFmtId="49" fontId="31" fillId="0" borderId="58" xfId="1" applyNumberFormat="1" applyFont="1" applyFill="1" applyBorder="1" applyAlignment="1">
      <alignment horizontal="left" wrapText="1" indent="1"/>
    </xf>
    <xf numFmtId="49" fontId="31" fillId="0" borderId="58" xfId="1" applyNumberFormat="1" applyFont="1" applyFill="1" applyBorder="1" applyAlignment="1">
      <alignment horizontal="left" indent="1"/>
    </xf>
    <xf numFmtId="0" fontId="37" fillId="0" borderId="2" xfId="1" applyNumberFormat="1" applyFont="1" applyFill="1" applyBorder="1" applyAlignment="1">
      <alignment horizontal="center"/>
    </xf>
    <xf numFmtId="49" fontId="77" fillId="0" borderId="58" xfId="1" applyNumberFormat="1" applyFont="1" applyFill="1" applyBorder="1" applyAlignment="1">
      <alignment horizontal="left" wrapText="1" indent="1"/>
    </xf>
    <xf numFmtId="0" fontId="11" fillId="2" borderId="53" xfId="1" applyNumberFormat="1" applyFont="1" applyFill="1" applyBorder="1" applyAlignment="1">
      <alignment horizontal="center"/>
    </xf>
    <xf numFmtId="49" fontId="68" fillId="2" borderId="48" xfId="1" applyNumberFormat="1" applyFont="1" applyFill="1" applyBorder="1" applyAlignment="1">
      <alignment horizontal="left" indent="1"/>
    </xf>
    <xf numFmtId="49" fontId="71" fillId="0" borderId="58" xfId="1" applyNumberFormat="1" applyFont="1" applyFill="1" applyBorder="1" applyAlignment="1">
      <alignment horizontal="left" indent="1"/>
    </xf>
    <xf numFmtId="0" fontId="11" fillId="0" borderId="2" xfId="1" quotePrefix="1" applyNumberFormat="1" applyFont="1" applyFill="1" applyBorder="1" applyAlignment="1">
      <alignment horizontal="center"/>
    </xf>
    <xf numFmtId="0" fontId="11" fillId="4" borderId="6" xfId="1" applyNumberFormat="1" applyFont="1" applyFill="1" applyBorder="1" applyAlignment="1">
      <alignment horizontal="center"/>
    </xf>
    <xf numFmtId="49" fontId="68" fillId="4" borderId="48" xfId="1" applyNumberFormat="1" applyFont="1" applyFill="1" applyBorder="1" applyAlignment="1">
      <alignment horizontal="left" indent="1"/>
    </xf>
    <xf numFmtId="0" fontId="9" fillId="0" borderId="2" xfId="1" applyNumberFormat="1" applyFont="1" applyFill="1" applyBorder="1" applyAlignment="1">
      <alignment horizontal="center"/>
    </xf>
    <xf numFmtId="49" fontId="71" fillId="0" borderId="58" xfId="1" applyNumberFormat="1" applyFont="1" applyFill="1" applyBorder="1" applyAlignment="1">
      <alignment horizontal="left" wrapText="1" indent="1"/>
    </xf>
    <xf numFmtId="0" fontId="9" fillId="3" borderId="53" xfId="1" applyNumberFormat="1" applyFont="1" applyFill="1" applyBorder="1" applyAlignment="1">
      <alignment horizontal="center"/>
    </xf>
    <xf numFmtId="49" fontId="66" fillId="3" borderId="48" xfId="1" applyNumberFormat="1" applyFont="1" applyFill="1" applyBorder="1" applyAlignment="1">
      <alignment horizontal="left" wrapText="1" indent="1"/>
    </xf>
    <xf numFmtId="0" fontId="45" fillId="0" borderId="62" xfId="1" applyNumberFormat="1" applyFont="1" applyFill="1" applyBorder="1" applyAlignment="1">
      <alignment horizontal="center"/>
    </xf>
    <xf numFmtId="0" fontId="8" fillId="2" borderId="6" xfId="1" applyNumberFormat="1" applyFont="1" applyFill="1" applyBorder="1" applyAlignment="1">
      <alignment horizontal="center"/>
    </xf>
    <xf numFmtId="49" fontId="9" fillId="2" borderId="63" xfId="0" applyNumberFormat="1" applyFont="1" applyFill="1" applyBorder="1" applyAlignment="1">
      <alignment horizontal="left" wrapText="1" indent="1"/>
    </xf>
    <xf numFmtId="49" fontId="66" fillId="2" borderId="48" xfId="1" applyNumberFormat="1" applyFont="1" applyFill="1" applyBorder="1" applyAlignment="1">
      <alignment horizontal="left" indent="1"/>
    </xf>
    <xf numFmtId="0" fontId="9" fillId="10" borderId="23" xfId="0" applyFont="1" applyFill="1" applyBorder="1" applyAlignment="1">
      <alignment horizontal="center" wrapText="1"/>
    </xf>
    <xf numFmtId="9" fontId="9" fillId="10" borderId="23" xfId="0" applyNumberFormat="1" applyFont="1" applyFill="1" applyBorder="1" applyAlignment="1">
      <alignment horizontal="center" wrapText="1"/>
    </xf>
    <xf numFmtId="0" fontId="9" fillId="10" borderId="23" xfId="0" applyFont="1" applyFill="1" applyBorder="1" applyAlignment="1">
      <alignment horizontal="right" wrapText="1"/>
    </xf>
    <xf numFmtId="49" fontId="9" fillId="10" borderId="24" xfId="0" applyNumberFormat="1" applyFont="1" applyFill="1" applyBorder="1" applyAlignment="1">
      <alignment horizontal="left" wrapText="1" indent="1"/>
    </xf>
    <xf numFmtId="0" fontId="29" fillId="10" borderId="7" xfId="0" applyFont="1" applyFill="1" applyBorder="1" applyAlignment="1">
      <alignment vertical="center"/>
    </xf>
    <xf numFmtId="0" fontId="29" fillId="10" borderId="8" xfId="0" applyFont="1" applyFill="1" applyBorder="1" applyAlignment="1">
      <alignment horizontal="left" vertical="center" indent="1"/>
    </xf>
    <xf numFmtId="0" fontId="9" fillId="10" borderId="8" xfId="0" applyFont="1" applyFill="1" applyBorder="1" applyAlignment="1">
      <alignment horizontal="center" vertical="center"/>
    </xf>
    <xf numFmtId="0" fontId="8" fillId="10" borderId="8" xfId="0" applyFont="1" applyFill="1" applyBorder="1" applyAlignment="1">
      <alignment horizontal="right"/>
    </xf>
    <xf numFmtId="0" fontId="8" fillId="10" borderId="8" xfId="0" applyFont="1" applyFill="1" applyBorder="1" applyAlignment="1">
      <alignment horizontal="center"/>
    </xf>
    <xf numFmtId="0" fontId="8" fillId="10" borderId="9" xfId="0" applyFont="1" applyFill="1" applyBorder="1" applyAlignment="1">
      <alignment horizontal="left" wrapText="1" indent="1"/>
    </xf>
    <xf numFmtId="0" fontId="29" fillId="10" borderId="10" xfId="0" applyFont="1" applyFill="1" applyBorder="1" applyAlignment="1">
      <alignment vertical="center"/>
    </xf>
    <xf numFmtId="0" fontId="29" fillId="10" borderId="0" xfId="0" applyFont="1" applyFill="1" applyAlignment="1">
      <alignment horizontal="left" vertical="center" indent="1"/>
    </xf>
    <xf numFmtId="0" fontId="60" fillId="10" borderId="0" xfId="0" applyFont="1" applyFill="1" applyAlignment="1">
      <alignment horizontal="left" vertical="center" indent="1"/>
    </xf>
    <xf numFmtId="0" fontId="9" fillId="10" borderId="0" xfId="0" applyFont="1" applyFill="1" applyAlignment="1">
      <alignment horizontal="center" vertical="center"/>
    </xf>
    <xf numFmtId="0" fontId="8" fillId="10" borderId="0" xfId="0" applyFont="1" applyFill="1" applyAlignment="1">
      <alignment horizontal="right"/>
    </xf>
    <xf numFmtId="0" fontId="30" fillId="10" borderId="0" xfId="0" applyFont="1" applyFill="1" applyAlignment="1">
      <alignment horizontal="center"/>
    </xf>
    <xf numFmtId="0" fontId="8" fillId="10" borderId="11" xfId="0" applyFont="1" applyFill="1" applyBorder="1" applyAlignment="1">
      <alignment horizontal="left" wrapText="1" indent="1"/>
    </xf>
    <xf numFmtId="0" fontId="9" fillId="10" borderId="22" xfId="0" applyFont="1" applyFill="1" applyBorder="1" applyAlignment="1">
      <alignment horizontal="center" wrapText="1"/>
    </xf>
    <xf numFmtId="49" fontId="9" fillId="10" borderId="23" xfId="0" applyNumberFormat="1" applyFont="1" applyFill="1" applyBorder="1" applyAlignment="1">
      <alignment horizontal="left" wrapText="1" indent="1"/>
    </xf>
    <xf numFmtId="49" fontId="86" fillId="0" borderId="58" xfId="1" applyNumberFormat="1" applyFont="1" applyFill="1" applyBorder="1" applyAlignment="1">
      <alignment horizontal="left" wrapText="1" indent="1"/>
    </xf>
    <xf numFmtId="49" fontId="87" fillId="0" borderId="58" xfId="1" applyNumberFormat="1" applyFont="1" applyFill="1" applyBorder="1" applyAlignment="1">
      <alignment horizontal="left" wrapText="1" indent="1"/>
    </xf>
    <xf numFmtId="0" fontId="88" fillId="0" borderId="54" xfId="0" applyFont="1" applyBorder="1"/>
    <xf numFmtId="0" fontId="29" fillId="10" borderId="55" xfId="0" applyFont="1" applyFill="1" applyBorder="1" applyAlignment="1">
      <alignment vertical="center"/>
    </xf>
    <xf numFmtId="0" fontId="29" fillId="10" borderId="43" xfId="0" applyFont="1" applyFill="1" applyBorder="1" applyAlignment="1">
      <alignment horizontal="left" vertical="center" indent="1"/>
    </xf>
    <xf numFmtId="0" fontId="9" fillId="10" borderId="43" xfId="0" applyFont="1" applyFill="1" applyBorder="1" applyAlignment="1">
      <alignment horizontal="center" vertical="center"/>
    </xf>
    <xf numFmtId="0" fontId="8" fillId="10" borderId="43" xfId="0" applyFont="1" applyFill="1" applyBorder="1" applyAlignment="1">
      <alignment horizontal="right"/>
    </xf>
    <xf numFmtId="0" fontId="8" fillId="10" borderId="43" xfId="0" applyFont="1" applyFill="1" applyBorder="1" applyAlignment="1">
      <alignment horizontal="center"/>
    </xf>
    <xf numFmtId="0" fontId="8" fillId="10" borderId="56" xfId="0" applyFont="1" applyFill="1" applyBorder="1" applyAlignment="1">
      <alignment horizontal="left" wrapText="1" indent="1"/>
    </xf>
    <xf numFmtId="0" fontId="29" fillId="10" borderId="57" xfId="0" applyFont="1" applyFill="1" applyBorder="1" applyAlignment="1">
      <alignment vertical="center"/>
    </xf>
    <xf numFmtId="0" fontId="8" fillId="10" borderId="58" xfId="0" applyFont="1" applyFill="1" applyBorder="1" applyAlignment="1">
      <alignment horizontal="left" wrapText="1" indent="1"/>
    </xf>
    <xf numFmtId="0" fontId="9" fillId="10" borderId="40" xfId="0" applyFont="1" applyFill="1" applyBorder="1" applyAlignment="1">
      <alignment horizontal="center" wrapText="1"/>
    </xf>
    <xf numFmtId="49" fontId="9" fillId="10" borderId="59" xfId="0" applyNumberFormat="1" applyFont="1" applyFill="1" applyBorder="1" applyAlignment="1">
      <alignment horizontal="left" wrapText="1" indent="1"/>
    </xf>
    <xf numFmtId="49" fontId="85" fillId="0" borderId="11" xfId="1" applyNumberFormat="1" applyFont="1" applyFill="1" applyBorder="1" applyAlignment="1">
      <alignment horizontal="left" wrapText="1" indent="1"/>
    </xf>
    <xf numFmtId="49" fontId="89" fillId="0" borderId="11" xfId="1" applyNumberFormat="1" applyFont="1" applyFill="1" applyBorder="1" applyAlignment="1">
      <alignment horizontal="left" wrapText="1" indent="1"/>
    </xf>
    <xf numFmtId="49" fontId="90" fillId="0" borderId="25" xfId="1" applyNumberFormat="1" applyFont="1" applyFill="1" applyBorder="1" applyAlignment="1">
      <alignment horizontal="left" wrapText="1" indent="1"/>
    </xf>
    <xf numFmtId="49" fontId="90" fillId="0" borderId="11" xfId="1" applyNumberFormat="1" applyFont="1" applyFill="1" applyBorder="1" applyAlignment="1">
      <alignment horizontal="left" wrapText="1" indent="1"/>
    </xf>
    <xf numFmtId="49" fontId="90" fillId="2" borderId="20" xfId="1" applyNumberFormat="1" applyFont="1" applyFill="1" applyBorder="1" applyAlignment="1">
      <alignment horizontal="left" wrapText="1" indent="1"/>
    </xf>
    <xf numFmtId="49" fontId="85" fillId="0" borderId="11" xfId="1" applyNumberFormat="1" applyFont="1" applyFill="1" applyBorder="1" applyAlignment="1">
      <alignment horizontal="left" indent="1"/>
    </xf>
    <xf numFmtId="49" fontId="91" fillId="0" borderId="5" xfId="1" applyNumberFormat="1" applyFont="1" applyFill="1" applyBorder="1" applyAlignment="1">
      <alignment horizontal="left" indent="1"/>
    </xf>
    <xf numFmtId="49" fontId="92" fillId="0" borderId="16" xfId="1" applyNumberFormat="1" applyFont="1" applyFill="1" applyBorder="1" applyAlignment="1">
      <alignment horizontal="left" indent="1"/>
    </xf>
    <xf numFmtId="0" fontId="93" fillId="0" borderId="0" xfId="0" applyFont="1"/>
    <xf numFmtId="0" fontId="91" fillId="0" borderId="30" xfId="1" applyNumberFormat="1" applyFont="1" applyFill="1" applyBorder="1" applyAlignment="1">
      <alignment horizontal="center"/>
    </xf>
    <xf numFmtId="165" fontId="91" fillId="0" borderId="5" xfId="1" applyNumberFormat="1" applyFont="1" applyFill="1" applyBorder="1"/>
    <xf numFmtId="9" fontId="91" fillId="0" borderId="5" xfId="6" applyFont="1" applyFill="1" applyBorder="1" applyAlignment="1">
      <alignment horizontal="center"/>
    </xf>
    <xf numFmtId="0" fontId="10" fillId="10" borderId="7" xfId="0" applyFont="1" applyFill="1" applyBorder="1" applyAlignment="1">
      <alignment vertical="center"/>
    </xf>
    <xf numFmtId="0" fontId="10" fillId="10" borderId="26" xfId="0" applyFont="1" applyFill="1" applyBorder="1" applyAlignment="1">
      <alignment horizontal="left" vertical="center" indent="1"/>
    </xf>
    <xf numFmtId="0" fontId="10" fillId="10" borderId="8" xfId="0" applyFont="1" applyFill="1" applyBorder="1" applyAlignment="1">
      <alignment horizontal="left" vertical="center" indent="1"/>
    </xf>
    <xf numFmtId="0" fontId="11" fillId="10" borderId="8" xfId="0" applyFont="1" applyFill="1" applyBorder="1" applyAlignment="1">
      <alignment horizontal="center" vertical="center"/>
    </xf>
    <xf numFmtId="0" fontId="12" fillId="10" borderId="8" xfId="0" applyFont="1" applyFill="1" applyBorder="1"/>
    <xf numFmtId="0" fontId="12" fillId="10" borderId="8" xfId="1" applyNumberFormat="1" applyFont="1" applyFill="1" applyBorder="1" applyAlignment="1">
      <alignment horizontal="center"/>
    </xf>
    <xf numFmtId="0" fontId="12" fillId="10" borderId="9" xfId="0" applyFont="1" applyFill="1" applyBorder="1" applyAlignment="1">
      <alignment horizontal="left" indent="1"/>
    </xf>
    <xf numFmtId="0" fontId="10" fillId="10" borderId="10" xfId="0" applyFont="1" applyFill="1" applyBorder="1" applyAlignment="1">
      <alignment vertical="center"/>
    </xf>
    <xf numFmtId="0" fontId="10" fillId="10" borderId="1" xfId="0" applyFont="1" applyFill="1" applyBorder="1" applyAlignment="1">
      <alignment horizontal="left" vertical="center" indent="1"/>
    </xf>
    <xf numFmtId="0" fontId="10" fillId="10" borderId="0" xfId="0" applyFont="1" applyFill="1" applyAlignment="1">
      <alignment horizontal="left" vertical="center" indent="1"/>
    </xf>
    <xf numFmtId="0" fontId="11" fillId="10" borderId="0" xfId="0" applyFont="1" applyFill="1" applyAlignment="1">
      <alignment horizontal="center" vertical="center"/>
    </xf>
    <xf numFmtId="0" fontId="12" fillId="10" borderId="0" xfId="0" applyFont="1" applyFill="1"/>
    <xf numFmtId="0" fontId="12" fillId="10" borderId="0" xfId="1" applyNumberFormat="1" applyFont="1" applyFill="1" applyBorder="1" applyAlignment="1">
      <alignment horizontal="center"/>
    </xf>
    <xf numFmtId="0" fontId="21" fillId="10" borderId="0" xfId="0" applyFont="1" applyFill="1" applyAlignment="1">
      <alignment horizontal="center"/>
    </xf>
    <xf numFmtId="0" fontId="12" fillId="10" borderId="11" xfId="0" applyFont="1" applyFill="1" applyBorder="1" applyAlignment="1">
      <alignment horizontal="left" indent="1"/>
    </xf>
    <xf numFmtId="0" fontId="23" fillId="11" borderId="47" xfId="0" applyFont="1" applyFill="1" applyBorder="1" applyAlignment="1">
      <alignment horizontal="left"/>
    </xf>
    <xf numFmtId="0" fontId="0" fillId="11" borderId="8" xfId="0" applyFill="1" applyBorder="1"/>
    <xf numFmtId="0" fontId="23" fillId="11" borderId="22" xfId="0" applyFont="1" applyFill="1" applyBorder="1" applyAlignment="1">
      <alignment horizontal="left"/>
    </xf>
    <xf numFmtId="0" fontId="23" fillId="11" borderId="23" xfId="0" applyFont="1" applyFill="1" applyBorder="1"/>
    <xf numFmtId="17" fontId="20" fillId="11" borderId="23" xfId="0" applyNumberFormat="1" applyFont="1" applyFill="1" applyBorder="1" applyAlignment="1">
      <alignment horizontal="center" wrapText="1"/>
    </xf>
    <xf numFmtId="0" fontId="0" fillId="11" borderId="9" xfId="0" applyFill="1" applyBorder="1"/>
    <xf numFmtId="49" fontId="20" fillId="11" borderId="24" xfId="0" applyNumberFormat="1" applyFont="1" applyFill="1" applyBorder="1" applyAlignment="1">
      <alignment horizontal="left" indent="1"/>
    </xf>
    <xf numFmtId="0" fontId="36" fillId="0" borderId="0" xfId="0" applyFont="1" applyAlignment="1">
      <alignment horizontal="center" vertical="center" wrapText="1"/>
    </xf>
    <xf numFmtId="4" fontId="14" fillId="0" borderId="0" xfId="0" applyNumberFormat="1" applyFont="1"/>
    <xf numFmtId="0" fontId="18" fillId="11" borderId="8" xfId="7" applyFont="1" applyFill="1" applyBorder="1"/>
    <xf numFmtId="9" fontId="18" fillId="11" borderId="8" xfId="7" applyNumberFormat="1" applyFont="1" applyFill="1" applyBorder="1" applyAlignment="1">
      <alignment horizontal="center"/>
    </xf>
    <xf numFmtId="0" fontId="18" fillId="11" borderId="8" xfId="7" applyFont="1" applyFill="1" applyBorder="1" applyAlignment="1">
      <alignment horizontal="center"/>
    </xf>
    <xf numFmtId="0" fontId="18" fillId="11" borderId="9" xfId="7" applyFont="1" applyFill="1" applyBorder="1"/>
    <xf numFmtId="0" fontId="10" fillId="10" borderId="14" xfId="0" applyFont="1" applyFill="1" applyBorder="1" applyAlignment="1">
      <alignment vertical="center"/>
    </xf>
    <xf numFmtId="0" fontId="12" fillId="10" borderId="0" xfId="0" applyFont="1" applyFill="1" applyAlignment="1">
      <alignment horizontal="center"/>
    </xf>
    <xf numFmtId="9" fontId="12" fillId="10" borderId="0" xfId="0" applyNumberFormat="1" applyFont="1" applyFill="1" applyAlignment="1">
      <alignment horizontal="center"/>
    </xf>
    <xf numFmtId="0" fontId="18" fillId="11" borderId="11" xfId="7" applyFont="1" applyFill="1" applyBorder="1"/>
    <xf numFmtId="0" fontId="62" fillId="4" borderId="37" xfId="0" applyFont="1" applyFill="1" applyBorder="1"/>
    <xf numFmtId="8" fontId="0" fillId="0" borderId="0" xfId="0" applyNumberFormat="1" applyAlignment="1">
      <alignment horizontal="center" vertical="center"/>
    </xf>
    <xf numFmtId="49" fontId="78" fillId="0" borderId="58" xfId="1" applyNumberFormat="1" applyFont="1" applyFill="1" applyBorder="1" applyAlignment="1">
      <alignment horizontal="left" wrapText="1" indent="1"/>
    </xf>
    <xf numFmtId="0" fontId="9" fillId="4" borderId="0" xfId="0" applyFont="1" applyFill="1" applyAlignment="1">
      <alignment horizontal="center"/>
    </xf>
    <xf numFmtId="49" fontId="9" fillId="4" borderId="0" xfId="0" applyNumberFormat="1" applyFont="1" applyFill="1" applyAlignment="1">
      <alignment horizontal="left" indent="1"/>
    </xf>
    <xf numFmtId="165" fontId="9" fillId="3" borderId="0" xfId="1" applyNumberFormat="1" applyFont="1" applyFill="1" applyBorder="1"/>
    <xf numFmtId="49" fontId="64" fillId="4" borderId="0" xfId="0" applyNumberFormat="1" applyFont="1" applyFill="1" applyAlignment="1">
      <alignment horizontal="left" indent="1"/>
    </xf>
    <xf numFmtId="17" fontId="20" fillId="3" borderId="23" xfId="0" applyNumberFormat="1" applyFont="1" applyFill="1" applyBorder="1" applyAlignment="1">
      <alignment horizontal="center" wrapText="1"/>
    </xf>
    <xf numFmtId="0" fontId="8" fillId="12" borderId="14" xfId="7" applyFont="1" applyFill="1" applyBorder="1" applyAlignment="1">
      <alignment horizontal="center"/>
    </xf>
    <xf numFmtId="0" fontId="9" fillId="12" borderId="2" xfId="7" applyFont="1" applyFill="1" applyBorder="1"/>
    <xf numFmtId="0" fontId="0" fillId="12" borderId="0" xfId="0" applyFill="1"/>
    <xf numFmtId="165" fontId="9" fillId="12" borderId="0" xfId="1" applyNumberFormat="1" applyFont="1" applyFill="1" applyBorder="1"/>
    <xf numFmtId="165" fontId="74" fillId="12" borderId="0" xfId="1" applyNumberFormat="1" applyFont="1" applyFill="1" applyBorder="1"/>
    <xf numFmtId="165" fontId="33" fillId="12" borderId="0" xfId="1" applyNumberFormat="1" applyFont="1" applyFill="1" applyBorder="1"/>
    <xf numFmtId="9" fontId="9" fillId="12" borderId="0" xfId="1" applyNumberFormat="1" applyFont="1" applyFill="1" applyBorder="1" applyAlignment="1">
      <alignment horizontal="center"/>
    </xf>
    <xf numFmtId="165" fontId="9" fillId="12" borderId="37" xfId="1" applyNumberFormat="1" applyFont="1" applyFill="1" applyBorder="1"/>
    <xf numFmtId="165" fontId="0" fillId="0" borderId="0" xfId="0" applyNumberFormat="1" applyAlignment="1">
      <alignment horizontal="center"/>
    </xf>
    <xf numFmtId="165" fontId="0" fillId="0" borderId="0" xfId="0" applyNumberFormat="1" applyAlignment="1">
      <alignment horizontal="right"/>
    </xf>
    <xf numFmtId="0" fontId="69" fillId="0" borderId="37" xfId="0" applyFont="1" applyBorder="1"/>
    <xf numFmtId="0" fontId="80" fillId="0" borderId="11" xfId="0" applyFont="1" applyBorder="1" applyAlignment="1">
      <alignment horizontal="center" vertical="center" wrapText="1"/>
    </xf>
    <xf numFmtId="0" fontId="76" fillId="0" borderId="30" xfId="0" applyFont="1" applyBorder="1" applyAlignment="1">
      <alignment vertical="center" wrapText="1"/>
    </xf>
    <xf numFmtId="0" fontId="25" fillId="7" borderId="0" xfId="0" applyFont="1" applyFill="1" applyAlignment="1">
      <alignment horizontal="left"/>
    </xf>
    <xf numFmtId="0" fontId="32" fillId="7" borderId="0" xfId="0" applyFont="1" applyFill="1" applyAlignment="1">
      <alignment horizontal="center"/>
    </xf>
    <xf numFmtId="9" fontId="8" fillId="0" borderId="13" xfId="1" applyNumberFormat="1" applyFont="1" applyFill="1" applyBorder="1" applyAlignment="1">
      <alignment horizontal="center"/>
    </xf>
    <xf numFmtId="49" fontId="9" fillId="0" borderId="16" xfId="1" applyNumberFormat="1" applyFont="1" applyFill="1" applyBorder="1"/>
    <xf numFmtId="49" fontId="9" fillId="12" borderId="25" xfId="1" applyNumberFormat="1" applyFont="1" applyFill="1" applyBorder="1"/>
    <xf numFmtId="49" fontId="8" fillId="0" borderId="13" xfId="1" applyNumberFormat="1" applyFont="1" applyFill="1" applyBorder="1"/>
    <xf numFmtId="0" fontId="0" fillId="0" borderId="11" xfId="0" applyBorder="1"/>
  </cellXfs>
  <cellStyles count="286">
    <cellStyle name="Comma" xfId="1" builtinId="3"/>
    <cellStyle name="Comma 2" xfId="284" xr:uid="{6409BD8F-8951-4E7E-B987-F4BC5D0F8784}"/>
    <cellStyle name="Comma 2 2" xfId="285" xr:uid="{EA334973-6045-4441-A08D-A95EAA5516FA}"/>
    <cellStyle name="Followed Hyperlink" xfId="73" builtinId="9" hidden="1"/>
    <cellStyle name="Followed Hyperlink" xfId="35" builtinId="9" hidden="1"/>
    <cellStyle name="Followed Hyperlink" xfId="47" builtinId="9" hidden="1"/>
    <cellStyle name="Followed Hyperlink" xfId="57" builtinId="9" hidden="1"/>
    <cellStyle name="Followed Hyperlink" xfId="67" builtinId="9" hidden="1"/>
    <cellStyle name="Followed Hyperlink" xfId="53" builtinId="9" hidden="1"/>
    <cellStyle name="Followed Hyperlink" xfId="15" builtinId="9" hidden="1"/>
    <cellStyle name="Followed Hyperlink" xfId="23" builtinId="9" hidden="1"/>
    <cellStyle name="Followed Hyperlink" xfId="11" builtinId="9" hidden="1"/>
    <cellStyle name="Followed Hyperlink" xfId="5" builtinId="9" hidden="1"/>
    <cellStyle name="Followed Hyperlink" xfId="25" builtinId="9" hidden="1"/>
    <cellStyle name="Followed Hyperlink" xfId="17" builtinId="9" hidden="1"/>
    <cellStyle name="Followed Hyperlink" xfId="45" builtinId="9" hidden="1"/>
    <cellStyle name="Followed Hyperlink" xfId="71" builtinId="9" hidden="1"/>
    <cellStyle name="Followed Hyperlink" xfId="59" builtinId="9" hidden="1"/>
    <cellStyle name="Followed Hyperlink" xfId="49" builtinId="9" hidden="1"/>
    <cellStyle name="Followed Hyperlink" xfId="39" builtinId="9" hidden="1"/>
    <cellStyle name="Followed Hyperlink" xfId="27" builtinId="9" hidden="1"/>
    <cellStyle name="Followed Hyperlink" xfId="85" builtinId="9" hidden="1"/>
    <cellStyle name="Followed Hyperlink" xfId="101" builtinId="9" hidden="1"/>
    <cellStyle name="Followed Hyperlink" xfId="117" builtinId="9" hidden="1"/>
    <cellStyle name="Followed Hyperlink" xfId="133" builtinId="9" hidden="1"/>
    <cellStyle name="Followed Hyperlink" xfId="149" builtinId="9" hidden="1"/>
    <cellStyle name="Followed Hyperlink" xfId="165" builtinId="9" hidden="1"/>
    <cellStyle name="Followed Hyperlink" xfId="181" builtinId="9" hidden="1"/>
    <cellStyle name="Followed Hyperlink" xfId="197" builtinId="9" hidden="1"/>
    <cellStyle name="Followed Hyperlink" xfId="213" builtinId="9" hidden="1"/>
    <cellStyle name="Followed Hyperlink" xfId="229" builtinId="9" hidden="1"/>
    <cellStyle name="Followed Hyperlink" xfId="245" builtinId="9" hidden="1"/>
    <cellStyle name="Followed Hyperlink" xfId="261" builtinId="9" hidden="1"/>
    <cellStyle name="Followed Hyperlink" xfId="277" builtinId="9" hidden="1"/>
    <cellStyle name="Followed Hyperlink" xfId="275" builtinId="9" hidden="1"/>
    <cellStyle name="Followed Hyperlink" xfId="259" builtinId="9" hidden="1"/>
    <cellStyle name="Followed Hyperlink" xfId="243" builtinId="9" hidden="1"/>
    <cellStyle name="Followed Hyperlink" xfId="227" builtinId="9" hidden="1"/>
    <cellStyle name="Followed Hyperlink" xfId="211" builtinId="9" hidden="1"/>
    <cellStyle name="Followed Hyperlink" xfId="127" builtinId="9" hidden="1"/>
    <cellStyle name="Followed Hyperlink" xfId="135" builtinId="9" hidden="1"/>
    <cellStyle name="Followed Hyperlink" xfId="147" builtinId="9" hidden="1"/>
    <cellStyle name="Followed Hyperlink" xfId="159" builtinId="9" hidden="1"/>
    <cellStyle name="Followed Hyperlink" xfId="167" builtinId="9" hidden="1"/>
    <cellStyle name="Followed Hyperlink" xfId="179" builtinId="9" hidden="1"/>
    <cellStyle name="Followed Hyperlink" xfId="191" builtinId="9" hidden="1"/>
    <cellStyle name="Followed Hyperlink" xfId="199" builtinId="9" hidden="1"/>
    <cellStyle name="Followed Hyperlink" xfId="203" builtinId="9" hidden="1"/>
    <cellStyle name="Followed Hyperlink" xfId="171" builtinId="9" hidden="1"/>
    <cellStyle name="Followed Hyperlink" xfId="139" builtinId="9" hidden="1"/>
    <cellStyle name="Followed Hyperlink" xfId="95" builtinId="9" hidden="1"/>
    <cellStyle name="Followed Hyperlink" xfId="103" builtinId="9" hidden="1"/>
    <cellStyle name="Followed Hyperlink" xfId="111" builtinId="9" hidden="1"/>
    <cellStyle name="Followed Hyperlink" xfId="91" builtinId="9" hidden="1"/>
    <cellStyle name="Followed Hyperlink" xfId="87" builtinId="9" hidden="1"/>
    <cellStyle name="Followed Hyperlink" xfId="75" builtinId="9" hidden="1"/>
    <cellStyle name="Followed Hyperlink" xfId="79" builtinId="9" hidden="1"/>
    <cellStyle name="Followed Hyperlink" xfId="83" builtinId="9" hidden="1"/>
    <cellStyle name="Followed Hyperlink" xfId="115" builtinId="9" hidden="1"/>
    <cellStyle name="Followed Hyperlink" xfId="107" builtinId="9" hidden="1"/>
    <cellStyle name="Followed Hyperlink" xfId="99" builtinId="9" hidden="1"/>
    <cellStyle name="Followed Hyperlink" xfId="123" builtinId="9" hidden="1"/>
    <cellStyle name="Followed Hyperlink" xfId="155" builtinId="9" hidden="1"/>
    <cellStyle name="Followed Hyperlink" xfId="187" builtinId="9" hidden="1"/>
    <cellStyle name="Followed Hyperlink" xfId="207" builtinId="9" hidden="1"/>
    <cellStyle name="Followed Hyperlink" xfId="195" builtinId="9" hidden="1"/>
    <cellStyle name="Followed Hyperlink" xfId="183" builtinId="9" hidden="1"/>
    <cellStyle name="Followed Hyperlink" xfId="175" builtinId="9" hidden="1"/>
    <cellStyle name="Followed Hyperlink" xfId="163" builtinId="9" hidden="1"/>
    <cellStyle name="Followed Hyperlink" xfId="151" builtinId="9" hidden="1"/>
    <cellStyle name="Followed Hyperlink" xfId="143" builtinId="9" hidden="1"/>
    <cellStyle name="Followed Hyperlink" xfId="131" builtinId="9" hidden="1"/>
    <cellStyle name="Followed Hyperlink" xfId="119" builtinId="9" hidden="1"/>
    <cellStyle name="Followed Hyperlink" xfId="219" builtinId="9" hidden="1"/>
    <cellStyle name="Followed Hyperlink" xfId="235" builtinId="9" hidden="1"/>
    <cellStyle name="Followed Hyperlink" xfId="251" builtinId="9" hidden="1"/>
    <cellStyle name="Followed Hyperlink" xfId="267" builtinId="9" hidden="1"/>
    <cellStyle name="Followed Hyperlink" xfId="283" builtinId="9" hidden="1"/>
    <cellStyle name="Followed Hyperlink" xfId="269" builtinId="9" hidden="1"/>
    <cellStyle name="Followed Hyperlink" xfId="253" builtinId="9" hidden="1"/>
    <cellStyle name="Followed Hyperlink" xfId="237" builtinId="9" hidden="1"/>
    <cellStyle name="Followed Hyperlink" xfId="221" builtinId="9" hidden="1"/>
    <cellStyle name="Followed Hyperlink" xfId="205" builtinId="9" hidden="1"/>
    <cellStyle name="Followed Hyperlink" xfId="189" builtinId="9" hidden="1"/>
    <cellStyle name="Followed Hyperlink" xfId="173" builtinId="9" hidden="1"/>
    <cellStyle name="Followed Hyperlink" xfId="157" builtinId="9" hidden="1"/>
    <cellStyle name="Followed Hyperlink" xfId="141" builtinId="9" hidden="1"/>
    <cellStyle name="Followed Hyperlink" xfId="125" builtinId="9" hidden="1"/>
    <cellStyle name="Followed Hyperlink" xfId="109" builtinId="9" hidden="1"/>
    <cellStyle name="Followed Hyperlink" xfId="93" builtinId="9" hidden="1"/>
    <cellStyle name="Followed Hyperlink" xfId="77" builtinId="9" hidden="1"/>
    <cellStyle name="Followed Hyperlink" xfId="33" builtinId="9" hidden="1"/>
    <cellStyle name="Followed Hyperlink" xfId="43" builtinId="9" hidden="1"/>
    <cellStyle name="Followed Hyperlink" xfId="55" builtinId="9" hidden="1"/>
    <cellStyle name="Followed Hyperlink" xfId="65" builtinId="9" hidden="1"/>
    <cellStyle name="Followed Hyperlink" xfId="61" builtinId="9" hidden="1"/>
    <cellStyle name="Followed Hyperlink" xfId="29" builtinId="9" hidden="1"/>
    <cellStyle name="Followed Hyperlink" xfId="21" builtinId="9" hidden="1"/>
    <cellStyle name="Followed Hyperlink" xfId="9" builtinId="9" hidden="1"/>
    <cellStyle name="Followed Hyperlink" xfId="3" builtinId="9" hidden="1"/>
    <cellStyle name="Followed Hyperlink" xfId="13" builtinId="9" hidden="1"/>
    <cellStyle name="Followed Hyperlink" xfId="19" builtinId="9" hidden="1"/>
    <cellStyle name="Followed Hyperlink" xfId="37" builtinId="9" hidden="1"/>
    <cellStyle name="Followed Hyperlink" xfId="69" builtinId="9" hidden="1"/>
    <cellStyle name="Followed Hyperlink" xfId="63" builtinId="9" hidden="1"/>
    <cellStyle name="Followed Hyperlink" xfId="51" builtinId="9" hidden="1"/>
    <cellStyle name="Followed Hyperlink" xfId="41" builtinId="9" hidden="1"/>
    <cellStyle name="Followed Hyperlink" xfId="31" builtinId="9" hidden="1"/>
    <cellStyle name="Followed Hyperlink" xfId="81" builtinId="9" hidden="1"/>
    <cellStyle name="Followed Hyperlink" xfId="265" builtinId="9" hidden="1"/>
    <cellStyle name="Followed Hyperlink" xfId="249" builtinId="9" hidden="1"/>
    <cellStyle name="Followed Hyperlink" xfId="241" builtinId="9" hidden="1"/>
    <cellStyle name="Followed Hyperlink" xfId="233" builtinId="9" hidden="1"/>
    <cellStyle name="Followed Hyperlink" xfId="217" builtinId="9" hidden="1"/>
    <cellStyle name="Followed Hyperlink" xfId="209" builtinId="9" hidden="1"/>
    <cellStyle name="Followed Hyperlink" xfId="201" builtinId="9" hidden="1"/>
    <cellStyle name="Followed Hyperlink" xfId="185" builtinId="9" hidden="1"/>
    <cellStyle name="Followed Hyperlink" xfId="177" builtinId="9" hidden="1"/>
    <cellStyle name="Followed Hyperlink" xfId="169" builtinId="9" hidden="1"/>
    <cellStyle name="Followed Hyperlink" xfId="153" builtinId="9" hidden="1"/>
    <cellStyle name="Followed Hyperlink" xfId="145" builtinId="9" hidden="1"/>
    <cellStyle name="Followed Hyperlink" xfId="137" builtinId="9" hidden="1"/>
    <cellStyle name="Followed Hyperlink" xfId="121" builtinId="9" hidden="1"/>
    <cellStyle name="Followed Hyperlink" xfId="113" builtinId="9" hidden="1"/>
    <cellStyle name="Followed Hyperlink" xfId="105" builtinId="9" hidden="1"/>
    <cellStyle name="Followed Hyperlink" xfId="89" builtinId="9" hidden="1"/>
    <cellStyle name="Followed Hyperlink" xfId="97" builtinId="9" hidden="1"/>
    <cellStyle name="Followed Hyperlink" xfId="129" builtinId="9" hidden="1"/>
    <cellStyle name="Followed Hyperlink" xfId="161" builtinId="9" hidden="1"/>
    <cellStyle name="Followed Hyperlink" xfId="193" builtinId="9" hidden="1"/>
    <cellStyle name="Followed Hyperlink" xfId="225" builtinId="9" hidden="1"/>
    <cellStyle name="Followed Hyperlink" xfId="257" builtinId="9" hidden="1"/>
    <cellStyle name="Followed Hyperlink" xfId="255" builtinId="9" hidden="1"/>
    <cellStyle name="Followed Hyperlink" xfId="263" builtinId="9" hidden="1"/>
    <cellStyle name="Followed Hyperlink" xfId="271" builtinId="9" hidden="1"/>
    <cellStyle name="Followed Hyperlink" xfId="279" builtinId="9" hidden="1"/>
    <cellStyle name="Followed Hyperlink" xfId="281" builtinId="9" hidden="1"/>
    <cellStyle name="Followed Hyperlink" xfId="273" builtinId="9" hidden="1"/>
    <cellStyle name="Followed Hyperlink" xfId="247" builtinId="9" hidden="1"/>
    <cellStyle name="Followed Hyperlink" xfId="231" builtinId="9" hidden="1"/>
    <cellStyle name="Followed Hyperlink" xfId="239" builtinId="9" hidden="1"/>
    <cellStyle name="Followed Hyperlink" xfId="223" builtinId="9" hidden="1"/>
    <cellStyle name="Followed Hyperlink" xfId="215" builtinId="9" hidden="1"/>
    <cellStyle name="Hyperlink" xfId="4" builtinId="8" hidden="1"/>
    <cellStyle name="Hyperlink" xfId="24" builtinId="8" hidden="1"/>
    <cellStyle name="Hyperlink" xfId="50" builtinId="8" hidden="1"/>
    <cellStyle name="Hyperlink" xfId="42" builtinId="8" hidden="1"/>
    <cellStyle name="Hyperlink" xfId="34" builtinId="8" hidden="1"/>
    <cellStyle name="Hyperlink" xfId="120" builtinId="8" hidden="1"/>
    <cellStyle name="Hyperlink" xfId="114" builtinId="8" hidden="1"/>
    <cellStyle name="Hyperlink" xfId="106" builtinId="8" hidden="1"/>
    <cellStyle name="Hyperlink" xfId="86" builtinId="8" hidden="1"/>
    <cellStyle name="Hyperlink" xfId="78" builtinId="8" hidden="1"/>
    <cellStyle name="Hyperlink" xfId="68" builtinId="8" hidden="1"/>
    <cellStyle name="Hyperlink" xfId="136" builtinId="8" hidden="1"/>
    <cellStyle name="Hyperlink" xfId="168" builtinId="8" hidden="1"/>
    <cellStyle name="Hyperlink" xfId="200" builtinId="8" hidden="1"/>
    <cellStyle name="Hyperlink" xfId="264" builtinId="8" hidden="1"/>
    <cellStyle name="Hyperlink" xfId="190" builtinId="8" hidden="1"/>
    <cellStyle name="Hyperlink" xfId="196" builtinId="8" hidden="1"/>
    <cellStyle name="Hyperlink" xfId="202" builtinId="8" hidden="1"/>
    <cellStyle name="Hyperlink" xfId="204" builtinId="8" hidden="1"/>
    <cellStyle name="Hyperlink" xfId="206" builtinId="8" hidden="1"/>
    <cellStyle name="Hyperlink" xfId="212" builtinId="8" hidden="1"/>
    <cellStyle name="Hyperlink" xfId="218" builtinId="8" hidden="1"/>
    <cellStyle name="Hyperlink" xfId="220" builtinId="8" hidden="1"/>
    <cellStyle name="Hyperlink" xfId="226" builtinId="8" hidden="1"/>
    <cellStyle name="Hyperlink" xfId="228" builtinId="8" hidden="1"/>
    <cellStyle name="Hyperlink" xfId="230" builtinId="8" hidden="1"/>
    <cellStyle name="Hyperlink" xfId="238" builtinId="8" hidden="1"/>
    <cellStyle name="Hyperlink" xfId="242" builtinId="8" hidden="1"/>
    <cellStyle name="Hyperlink" xfId="244" builtinId="8" hidden="1"/>
    <cellStyle name="Hyperlink" xfId="250" builtinId="8" hidden="1"/>
    <cellStyle name="Hyperlink" xfId="252" builtinId="8" hidden="1"/>
    <cellStyle name="Hyperlink" xfId="254" builtinId="8" hidden="1"/>
    <cellStyle name="Hyperlink" xfId="262" builtinId="8" hidden="1"/>
    <cellStyle name="Hyperlink" xfId="266" builtinId="8" hidden="1"/>
    <cellStyle name="Hyperlink" xfId="268" builtinId="8" hidden="1"/>
    <cellStyle name="Hyperlink" xfId="274" builtinId="8" hidden="1"/>
    <cellStyle name="Hyperlink" xfId="276" builtinId="8" hidden="1"/>
    <cellStyle name="Hyperlink" xfId="282" builtinId="8" hidden="1"/>
    <cellStyle name="Hyperlink" xfId="258" builtinId="8" hidden="1"/>
    <cellStyle name="Hyperlink" xfId="236" builtinId="8" hidden="1"/>
    <cellStyle name="Hyperlink" xfId="214" builtinId="8" hidden="1"/>
    <cellStyle name="Hyperlink" xfId="156" builtinId="8" hidden="1"/>
    <cellStyle name="Hyperlink" xfId="158" builtinId="8" hidden="1"/>
    <cellStyle name="Hyperlink" xfId="162" builtinId="8" hidden="1"/>
    <cellStyle name="Hyperlink" xfId="166" builtinId="8" hidden="1"/>
    <cellStyle name="Hyperlink" xfId="170" builtinId="8" hidden="1"/>
    <cellStyle name="Hyperlink" xfId="172" builtinId="8" hidden="1"/>
    <cellStyle name="Hyperlink" xfId="178" builtinId="8" hidden="1"/>
    <cellStyle name="Hyperlink" xfId="180" builtinId="8" hidden="1"/>
    <cellStyle name="Hyperlink" xfId="182" builtinId="8" hidden="1"/>
    <cellStyle name="Hyperlink" xfId="188" builtinId="8" hidden="1"/>
    <cellStyle name="Hyperlink" xfId="138" builtinId="8" hidden="1"/>
    <cellStyle name="Hyperlink" xfId="140" builtinId="8" hidden="1"/>
    <cellStyle name="Hyperlink" xfId="146" builtinId="8" hidden="1"/>
    <cellStyle name="Hyperlink" xfId="148" builtinId="8" hidden="1"/>
    <cellStyle name="Hyperlink" xfId="154" builtinId="8" hidden="1"/>
    <cellStyle name="Hyperlink" xfId="130" builtinId="8" hidden="1"/>
    <cellStyle name="Hyperlink" xfId="132" builtinId="8" hidden="1"/>
    <cellStyle name="Hyperlink" xfId="134" builtinId="8" hidden="1"/>
    <cellStyle name="Hyperlink" xfId="124" builtinId="8" hidden="1"/>
    <cellStyle name="Hyperlink" xfId="126" builtinId="8" hidden="1"/>
    <cellStyle name="Hyperlink" xfId="150" builtinId="8" hidden="1"/>
    <cellStyle name="Hyperlink" xfId="142" builtinId="8" hidden="1"/>
    <cellStyle name="Hyperlink" xfId="186" builtinId="8" hidden="1"/>
    <cellStyle name="Hyperlink" xfId="174" builtinId="8" hidden="1"/>
    <cellStyle name="Hyperlink" xfId="164" builtinId="8" hidden="1"/>
    <cellStyle name="Hyperlink" xfId="194" builtinId="8" hidden="1"/>
    <cellStyle name="Hyperlink" xfId="278" builtinId="8" hidden="1"/>
    <cellStyle name="Hyperlink" xfId="270" builtinId="8" hidden="1"/>
    <cellStyle name="Hyperlink" xfId="260" builtinId="8" hidden="1"/>
    <cellStyle name="Hyperlink" xfId="246" builtinId="8" hidden="1"/>
    <cellStyle name="Hyperlink" xfId="234" builtinId="8" hidden="1"/>
    <cellStyle name="Hyperlink" xfId="222" builtinId="8" hidden="1"/>
    <cellStyle name="Hyperlink" xfId="210" builtinId="8" hidden="1"/>
    <cellStyle name="Hyperlink" xfId="198" builtinId="8" hidden="1"/>
    <cellStyle name="Hyperlink" xfId="232" builtinId="8" hidden="1"/>
    <cellStyle name="Hyperlink" xfId="60" builtinId="8" hidden="1"/>
    <cellStyle name="Hyperlink" xfId="96" builtinId="8" hidden="1"/>
    <cellStyle name="Hyperlink" xfId="56" builtinId="8" hidden="1"/>
    <cellStyle name="Hyperlink" xfId="18" builtinId="8" hidden="1"/>
    <cellStyle name="Hyperlink" xfId="84" builtinId="8" hidden="1"/>
    <cellStyle name="Hyperlink" xfId="92" builtinId="8" hidden="1"/>
    <cellStyle name="Hyperlink" xfId="94" builtinId="8" hidden="1"/>
    <cellStyle name="Hyperlink" xfId="98" builtinId="8" hidden="1"/>
    <cellStyle name="Hyperlink" xfId="100" builtinId="8" hidden="1"/>
    <cellStyle name="Hyperlink" xfId="102" builtinId="8" hidden="1"/>
    <cellStyle name="Hyperlink" xfId="108" builtinId="8" hidden="1"/>
    <cellStyle name="Hyperlink" xfId="110" builtinId="8" hidden="1"/>
    <cellStyle name="Hyperlink" xfId="116" builtinId="8" hidden="1"/>
    <cellStyle name="Hyperlink" xfId="118" builtinId="8" hidden="1"/>
    <cellStyle name="Hyperlink" xfId="122" builtinId="8" hidden="1"/>
    <cellStyle name="Hyperlink" xfId="104" builtinId="8" hidden="1"/>
    <cellStyle name="Hyperlink" xfId="88" builtinId="8" hidden="1"/>
    <cellStyle name="Hyperlink" xfId="72" builtinId="8" hidden="1"/>
    <cellStyle name="Hyperlink" xfId="28" builtinId="8" hidden="1"/>
    <cellStyle name="Hyperlink" xfId="32" builtinId="8" hidden="1"/>
    <cellStyle name="Hyperlink" xfId="36" builtinId="8" hidden="1"/>
    <cellStyle name="Hyperlink" xfId="38" builtinId="8" hidden="1"/>
    <cellStyle name="Hyperlink" xfId="40" builtinId="8" hidden="1"/>
    <cellStyle name="Hyperlink" xfId="44" builtinId="8" hidden="1"/>
    <cellStyle name="Hyperlink" xfId="46" builtinId="8" hidden="1"/>
    <cellStyle name="Hyperlink" xfId="48" builtinId="8" hidden="1"/>
    <cellStyle name="Hyperlink" xfId="14" builtinId="8" hidden="1"/>
    <cellStyle name="Hyperlink" xfId="16" builtinId="8" hidden="1"/>
    <cellStyle name="Hyperlink" xfId="20" builtinId="8" hidden="1"/>
    <cellStyle name="Hyperlink" xfId="22" builtinId="8" hidden="1"/>
    <cellStyle name="Hyperlink" xfId="26" builtinId="8" hidden="1"/>
    <cellStyle name="Hyperlink" xfId="8" builtinId="8" hidden="1"/>
    <cellStyle name="Hyperlink" xfId="10" builtinId="8" hidden="1"/>
    <cellStyle name="Hyperlink" xfId="2" builtinId="8" hidden="1"/>
    <cellStyle name="Hyperlink" xfId="12" builtinId="8" hidden="1"/>
    <cellStyle name="Hyperlink" xfId="52" builtinId="8" hidden="1"/>
    <cellStyle name="Hyperlink" xfId="30" builtinId="8" hidden="1"/>
    <cellStyle name="Hyperlink" xfId="112" builtinId="8" hidden="1"/>
    <cellStyle name="Hyperlink" xfId="90" builtinId="8" hidden="1"/>
    <cellStyle name="Hyperlink" xfId="152" builtinId="8" hidden="1"/>
    <cellStyle name="Hyperlink" xfId="144" builtinId="8" hidden="1"/>
    <cellStyle name="Hyperlink" xfId="128" builtinId="8" hidden="1"/>
    <cellStyle name="Hyperlink" xfId="54" builtinId="8" hidden="1"/>
    <cellStyle name="Hyperlink" xfId="58" builtinId="8" hidden="1"/>
    <cellStyle name="Hyperlink" xfId="62" builtinId="8" hidden="1"/>
    <cellStyle name="Hyperlink" xfId="64" builtinId="8" hidden="1"/>
    <cellStyle name="Hyperlink" xfId="66" builtinId="8" hidden="1"/>
    <cellStyle name="Hyperlink" xfId="70" builtinId="8" hidden="1"/>
    <cellStyle name="Hyperlink" xfId="74" builtinId="8" hidden="1"/>
    <cellStyle name="Hyperlink" xfId="76" builtinId="8" hidden="1"/>
    <cellStyle name="Hyperlink" xfId="80" builtinId="8" hidden="1"/>
    <cellStyle name="Hyperlink" xfId="82" builtinId="8" hidden="1"/>
    <cellStyle name="Hyperlink" xfId="224" builtinId="8" hidden="1"/>
    <cellStyle name="Hyperlink" xfId="216" builtinId="8" hidden="1"/>
    <cellStyle name="Hyperlink" xfId="208" builtinId="8" hidden="1"/>
    <cellStyle name="Hyperlink" xfId="192" builtinId="8" hidden="1"/>
    <cellStyle name="Hyperlink" xfId="184" builtinId="8" hidden="1"/>
    <cellStyle name="Hyperlink" xfId="160" builtinId="8" hidden="1"/>
    <cellStyle name="Hyperlink" xfId="176" builtinId="8" hidden="1"/>
    <cellStyle name="Hyperlink" xfId="256" builtinId="8" hidden="1"/>
    <cellStyle name="Hyperlink" xfId="248" builtinId="8" hidden="1"/>
    <cellStyle name="Hyperlink" xfId="240" builtinId="8" hidden="1"/>
    <cellStyle name="Hyperlink" xfId="272" builtinId="8" hidden="1"/>
    <cellStyle name="Hyperlink" xfId="280" builtinId="8" hidden="1"/>
    <cellStyle name="Normal" xfId="0" builtinId="0"/>
    <cellStyle name="Normal_Sheet2" xfId="7" xr:uid="{00000000-0005-0000-0000-00001A010000}"/>
    <cellStyle name="Per cent" xfId="6"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anielle Davis" id="{D54708CC-E2E6-46C6-88F9-F010AE203275}" userId="S::Danielle.Davis@stratfield-mortimer.gov.uk::b1ccd0db-5d86-413f-8292-f74ae08a6f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7" dT="2025-09-30T14:41:14.61" personId="{D54708CC-E2E6-46C6-88F9-F010AE203275}" id="{BBD0492A-FB9A-4A42-8A60-4EC1C4DB7985}">
    <text>This is last years- need to do this years formula when I know staff costs</text>
  </threadedComment>
</ThreadedComments>
</file>

<file path=xl/threadedComments/threadedComment2.xml><?xml version="1.0" encoding="utf-8"?>
<ThreadedComments xmlns="http://schemas.microsoft.com/office/spreadsheetml/2018/threadedcomments" xmlns:x="http://schemas.openxmlformats.org/spreadsheetml/2006/main">
  <threadedComment ref="D25" dT="2025-10-23T14:49:30.95" personId="{D54708CC-E2E6-46C6-88F9-F010AE203275}" id="{7F765061-3596-407B-8D32-BB3A5307F4CD}">
    <text>£997 of this should be for 2025/26</text>
  </threadedComment>
  <threadedComment ref="F25" dT="2025-10-23T14:49:43.93" personId="{D54708CC-E2E6-46C6-88F9-F010AE203275}" id="{18586608-5A14-405D-AA6F-7622280A8FDD}">
    <text>Should be £997.00</text>
  </threadedComment>
</ThreadedComments>
</file>

<file path=xl/threadedComments/threadedComment3.xml><?xml version="1.0" encoding="utf-8"?>
<ThreadedComments xmlns="http://schemas.microsoft.com/office/spreadsheetml/2018/threadedcomments" xmlns:x="http://schemas.openxmlformats.org/spreadsheetml/2006/main">
  <threadedComment ref="F8" dT="2025-09-30T10:07:19.97" personId="{D54708CC-E2E6-46C6-88F9-F010AE203275}" id="{345388A5-239E-4707-BA44-1FDEE75DEA43}">
    <text>Actual amount 8571 but £4534 was from FG water supply EMR and £1065 for FG tree works EMR</text>
  </threadedComment>
  <threadedComment ref="G8" dT="2025-10-24T12:29:05.69" personId="{D54708CC-E2E6-46C6-88F9-F010AE203275}" id="{24173E6E-D3E6-42D8-9858-ACF275D437EE}">
    <text>£33,000 overspend for FG fence</text>
  </threadedComment>
  <threadedComment ref="E41" dT="2025-09-30T10:58:35.18" personId="{D54708CC-E2E6-46C6-88F9-F010AE203275}" id="{C816E3FF-6282-4317-B446-503C062FF4E8}">
    <text>£5000 for Windmill common and £7727 for brewery common recharge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topLeftCell="A2" workbookViewId="0">
      <pane xSplit="6" ySplit="1" topLeftCell="G3" activePane="bottomRight" state="frozen"/>
      <selection activeCell="A2" sqref="A2"/>
      <selection pane="topRight" activeCell="G2" sqref="G2"/>
      <selection pane="bottomLeft" activeCell="A3" sqref="A3"/>
      <selection pane="bottomRight" activeCell="L21" sqref="L21:L37"/>
    </sheetView>
  </sheetViews>
  <sheetFormatPr defaultColWidth="11.19921875" defaultRowHeight="15.6" x14ac:dyDescent="0.3"/>
  <cols>
    <col min="1" max="1" width="4.19921875" customWidth="1"/>
    <col min="2" max="2" width="10.69921875" customWidth="1"/>
    <col min="3" max="3" width="43.19921875" customWidth="1"/>
    <col min="4" max="8" width="13" customWidth="1"/>
    <col min="9" max="9" width="13" style="84" hidden="1" customWidth="1"/>
    <col min="10" max="11" width="13" style="62" hidden="1" customWidth="1"/>
    <col min="12" max="12" width="51.5" customWidth="1"/>
    <col min="13" max="13" width="13" bestFit="1" customWidth="1"/>
  </cols>
  <sheetData>
    <row r="1" spans="1:16" ht="16.2" hidden="1" customHeight="1" thickBot="1" x14ac:dyDescent="0.35"/>
    <row r="2" spans="1:16" ht="21" x14ac:dyDescent="0.3">
      <c r="B2" s="517" t="s">
        <v>225</v>
      </c>
      <c r="C2" s="519"/>
      <c r="D2" s="541"/>
      <c r="E2" s="541"/>
      <c r="F2" s="541"/>
      <c r="G2" s="541"/>
      <c r="H2" s="541"/>
      <c r="I2" s="542"/>
      <c r="J2" s="543"/>
      <c r="K2" s="543"/>
      <c r="L2" s="544"/>
    </row>
    <row r="3" spans="1:16" ht="21" x14ac:dyDescent="0.3">
      <c r="B3" s="545" t="s">
        <v>0</v>
      </c>
      <c r="C3" s="526"/>
      <c r="D3" s="526"/>
      <c r="E3" s="527"/>
      <c r="F3" s="527"/>
      <c r="G3" s="528"/>
      <c r="H3" s="546"/>
      <c r="I3" s="547"/>
      <c r="J3" s="546"/>
      <c r="K3" s="546"/>
      <c r="L3" s="548"/>
    </row>
    <row r="4" spans="1:16" ht="63" thickBot="1" x14ac:dyDescent="0.35">
      <c r="A4" s="576"/>
      <c r="B4" s="473" t="s">
        <v>23</v>
      </c>
      <c r="C4" s="491" t="s">
        <v>24</v>
      </c>
      <c r="D4" s="473" t="s">
        <v>186</v>
      </c>
      <c r="E4" s="473" t="s">
        <v>131</v>
      </c>
      <c r="F4" s="473" t="s">
        <v>227</v>
      </c>
      <c r="G4" s="475" t="s">
        <v>187</v>
      </c>
      <c r="H4" s="475" t="s">
        <v>188</v>
      </c>
      <c r="I4" s="474" t="s">
        <v>189</v>
      </c>
      <c r="J4" s="473" t="s">
        <v>190</v>
      </c>
      <c r="K4" s="473" t="s">
        <v>191</v>
      </c>
      <c r="L4" s="476" t="s">
        <v>1</v>
      </c>
    </row>
    <row r="5" spans="1:16" x14ac:dyDescent="0.3">
      <c r="B5" s="39"/>
      <c r="C5" s="31"/>
      <c r="D5" s="6"/>
      <c r="E5" s="33"/>
      <c r="F5" s="33"/>
      <c r="G5" s="6"/>
      <c r="H5" s="6"/>
      <c r="I5" s="85"/>
      <c r="J5" s="86"/>
      <c r="K5" s="86"/>
      <c r="L5" s="32"/>
    </row>
    <row r="6" spans="1:16" ht="37.200000000000003" customHeight="1" x14ac:dyDescent="0.3">
      <c r="B6" s="40">
        <v>100</v>
      </c>
      <c r="C6" s="5" t="s">
        <v>2</v>
      </c>
      <c r="D6" s="333">
        <f>+'100 Income'!D28</f>
        <v>194106</v>
      </c>
      <c r="E6" s="333">
        <f>+'100 Income'!E28</f>
        <v>201653</v>
      </c>
      <c r="F6" s="333">
        <f>+'100 Income'!F28</f>
        <v>184083</v>
      </c>
      <c r="G6" s="368">
        <f>+'100 Income'!G28</f>
        <v>203608</v>
      </c>
      <c r="H6" s="380">
        <f>+'100 Income'!H28</f>
        <v>200623.82</v>
      </c>
      <c r="I6" s="387">
        <f>IFERROR(G6/E6,"n/a")</f>
        <v>1.0096948718838796</v>
      </c>
      <c r="J6" s="387">
        <f>IFERROR(H6/E6,"n/a")</f>
        <v>0.99489628222739068</v>
      </c>
      <c r="K6" s="387">
        <f>IFERROR(H6/G6,"n/a")</f>
        <v>0.98534350320223174</v>
      </c>
      <c r="L6" s="99" t="s">
        <v>111</v>
      </c>
      <c r="M6" s="38"/>
      <c r="N6" s="38"/>
      <c r="O6" s="38"/>
      <c r="P6" s="38"/>
    </row>
    <row r="7" spans="1:16" x14ac:dyDescent="0.3">
      <c r="B7" s="39"/>
      <c r="C7" s="8"/>
      <c r="D7" s="95"/>
      <c r="E7" s="95"/>
      <c r="F7" s="95"/>
      <c r="G7" s="112"/>
      <c r="H7" s="323"/>
      <c r="I7" s="388"/>
      <c r="J7" s="388"/>
      <c r="K7" s="388"/>
      <c r="L7" s="77"/>
      <c r="M7" s="38"/>
      <c r="N7" s="38"/>
      <c r="O7" s="38"/>
      <c r="P7" s="38"/>
    </row>
    <row r="8" spans="1:16" x14ac:dyDescent="0.3">
      <c r="B8" s="41">
        <v>101</v>
      </c>
      <c r="C8" s="7" t="s">
        <v>3</v>
      </c>
      <c r="D8" s="334">
        <f>+'101 Admin'!D24</f>
        <v>102402</v>
      </c>
      <c r="E8" s="334">
        <f>+'101 Admin'!E24</f>
        <v>118560</v>
      </c>
      <c r="F8" s="334">
        <f>+'101 Admin'!F24</f>
        <v>51122</v>
      </c>
      <c r="G8" s="369">
        <f>+'101 Admin'!G24</f>
        <v>100395</v>
      </c>
      <c r="H8" s="381">
        <f>+'101 Admin'!H24</f>
        <v>123317.45</v>
      </c>
      <c r="I8" s="389">
        <f t="shared" ref="I8:I13" si="0">IFERROR(G8/E8,"n/a")</f>
        <v>0.84678643724696356</v>
      </c>
      <c r="J8" s="389">
        <f t="shared" ref="J8:J13" si="1">IFERROR(H8/E8,"n/a")</f>
        <v>1.0401269399460189</v>
      </c>
      <c r="K8" s="389">
        <f t="shared" ref="K8:K13" si="2">IFERROR(H8/G8,"n/a")</f>
        <v>1.2283226256287663</v>
      </c>
      <c r="L8" s="78" t="s">
        <v>110</v>
      </c>
      <c r="M8" s="38"/>
      <c r="N8" s="38"/>
      <c r="O8" s="38"/>
      <c r="P8" s="38"/>
    </row>
    <row r="9" spans="1:16" x14ac:dyDescent="0.3">
      <c r="B9" s="41">
        <v>101</v>
      </c>
      <c r="C9" s="7" t="s">
        <v>4</v>
      </c>
      <c r="D9" s="334">
        <f>'101 Admin'!D29</f>
        <v>19123</v>
      </c>
      <c r="E9" s="334">
        <f>'101 Admin'!E29</f>
        <v>18489</v>
      </c>
      <c r="F9" s="334">
        <f>'101 Admin'!F29</f>
        <v>17030</v>
      </c>
      <c r="G9" s="369">
        <f>'101 Admin'!G29</f>
        <v>17030</v>
      </c>
      <c r="H9" s="381">
        <f>'101 Admin'!H29</f>
        <v>1500</v>
      </c>
      <c r="I9" s="389">
        <f t="shared" si="0"/>
        <v>0.92108821461409485</v>
      </c>
      <c r="J9" s="389">
        <f t="shared" si="1"/>
        <v>8.1129320136297256E-2</v>
      </c>
      <c r="K9" s="389">
        <f t="shared" si="2"/>
        <v>8.8079859072225486E-2</v>
      </c>
      <c r="L9" s="78" t="s">
        <v>110</v>
      </c>
      <c r="M9" s="38"/>
      <c r="N9" s="38"/>
      <c r="O9" s="38"/>
      <c r="P9" s="38"/>
    </row>
    <row r="10" spans="1:16" x14ac:dyDescent="0.3">
      <c r="B10" s="41">
        <v>105</v>
      </c>
      <c r="C10" s="7" t="s">
        <v>173</v>
      </c>
      <c r="D10" s="334">
        <f>+'105 Community'!D20</f>
        <v>2850</v>
      </c>
      <c r="E10" s="334">
        <f>+'105 Community'!E20</f>
        <v>14651</v>
      </c>
      <c r="F10" s="334">
        <f>+'105 Community'!F20</f>
        <v>1135</v>
      </c>
      <c r="G10" s="369">
        <f>+'105 Community'!G20</f>
        <v>5525</v>
      </c>
      <c r="H10" s="381">
        <f>+'105 Community'!H20</f>
        <v>13730</v>
      </c>
      <c r="I10" s="390">
        <f t="shared" si="0"/>
        <v>0.37710736468500444</v>
      </c>
      <c r="J10" s="390">
        <f t="shared" si="1"/>
        <v>0.93713739676472596</v>
      </c>
      <c r="K10" s="390">
        <f t="shared" si="2"/>
        <v>2.4850678733031675</v>
      </c>
      <c r="L10" s="78" t="s">
        <v>176</v>
      </c>
      <c r="M10" s="38"/>
      <c r="N10" s="38"/>
      <c r="O10" s="38"/>
      <c r="P10" s="38"/>
    </row>
    <row r="11" spans="1:16" x14ac:dyDescent="0.3">
      <c r="B11" s="41">
        <v>106</v>
      </c>
      <c r="C11" s="7" t="s">
        <v>171</v>
      </c>
      <c r="D11" s="334">
        <f>+'106 Estate Managment'!D32</f>
        <v>26800</v>
      </c>
      <c r="E11" s="334">
        <f>+'106 Estate Managment'!E32</f>
        <v>44203</v>
      </c>
      <c r="F11" s="334">
        <f>+'106 Estate Managment'!F32</f>
        <v>9469</v>
      </c>
      <c r="G11" s="369">
        <f>+'106 Estate Managment'!G32</f>
        <v>62281.700000000004</v>
      </c>
      <c r="H11" s="381">
        <f>+'106 Estate Managment'!H32</f>
        <v>41076.199999999997</v>
      </c>
      <c r="I11" s="390">
        <f t="shared" si="0"/>
        <v>1.4089926023120605</v>
      </c>
      <c r="J11" s="390">
        <f t="shared" si="1"/>
        <v>0.92926271972490548</v>
      </c>
      <c r="K11" s="390">
        <f t="shared" si="2"/>
        <v>0.65952278117007068</v>
      </c>
      <c r="L11" s="78" t="s">
        <v>177</v>
      </c>
      <c r="M11" s="38"/>
      <c r="N11" s="38"/>
      <c r="O11" s="38"/>
      <c r="P11" s="38"/>
    </row>
    <row r="12" spans="1:16" x14ac:dyDescent="0.3">
      <c r="B12" s="41">
        <v>107</v>
      </c>
      <c r="C12" s="7" t="s">
        <v>172</v>
      </c>
      <c r="D12" s="334">
        <f>+'107 Planning and Highways'!D11</f>
        <v>400</v>
      </c>
      <c r="E12" s="334">
        <f>+'107 Planning and Highways'!E11</f>
        <v>5750</v>
      </c>
      <c r="F12" s="334">
        <f>+'107 Planning and Highways'!F11</f>
        <v>6439</v>
      </c>
      <c r="G12" s="369">
        <f>+'107 Planning and Highways'!G11</f>
        <v>7000</v>
      </c>
      <c r="H12" s="381">
        <f>+'107 Planning and Highways'!H11</f>
        <v>21000</v>
      </c>
      <c r="I12" s="390">
        <f t="shared" si="0"/>
        <v>1.2173913043478262</v>
      </c>
      <c r="J12" s="390">
        <f t="shared" si="1"/>
        <v>3.652173913043478</v>
      </c>
      <c r="K12" s="390">
        <f t="shared" si="2"/>
        <v>3</v>
      </c>
      <c r="L12" s="78" t="s">
        <v>178</v>
      </c>
      <c r="M12" s="38"/>
      <c r="N12" s="38"/>
      <c r="O12" s="38"/>
      <c r="P12" s="38"/>
    </row>
    <row r="13" spans="1:16" ht="30" customHeight="1" x14ac:dyDescent="0.3">
      <c r="B13" s="42"/>
      <c r="C13" s="37" t="s">
        <v>5</v>
      </c>
      <c r="D13" s="93">
        <f>SUM(D8:D12)</f>
        <v>151575</v>
      </c>
      <c r="E13" s="93">
        <f>SUM(E8:E12)</f>
        <v>201653</v>
      </c>
      <c r="F13" s="93">
        <f>SUM(F8:F12)</f>
        <v>85195</v>
      </c>
      <c r="G13" s="352">
        <f>SUM(G8:G12)</f>
        <v>192231.7</v>
      </c>
      <c r="H13" s="382">
        <f>SUM(H8:H12)</f>
        <v>200623.65000000002</v>
      </c>
      <c r="I13" s="391">
        <f t="shared" si="0"/>
        <v>0.95327964374445218</v>
      </c>
      <c r="J13" s="391">
        <f t="shared" si="1"/>
        <v>0.99489543919505297</v>
      </c>
      <c r="K13" s="391">
        <f t="shared" si="2"/>
        <v>1.0436553908642541</v>
      </c>
      <c r="L13" s="97"/>
      <c r="M13" s="38"/>
      <c r="N13" s="38"/>
      <c r="O13" s="38"/>
      <c r="P13" s="38"/>
    </row>
    <row r="14" spans="1:16" x14ac:dyDescent="0.3">
      <c r="B14" s="39"/>
      <c r="C14" s="8"/>
      <c r="D14" s="286"/>
      <c r="E14" s="286"/>
      <c r="F14" s="13"/>
      <c r="G14" s="112"/>
      <c r="H14" s="383"/>
      <c r="I14" s="392"/>
      <c r="J14" s="392"/>
      <c r="K14" s="392"/>
      <c r="L14" s="79"/>
      <c r="M14" s="38"/>
      <c r="N14" s="38"/>
      <c r="O14" s="38"/>
      <c r="P14" s="38"/>
    </row>
    <row r="15" spans="1:16" ht="47.4" thickBot="1" x14ac:dyDescent="0.35">
      <c r="B15" s="43"/>
      <c r="C15" s="70" t="s">
        <v>6</v>
      </c>
      <c r="D15" s="337">
        <f>+D6-D13</f>
        <v>42531</v>
      </c>
      <c r="E15" s="337">
        <f>+E6-E13</f>
        <v>0</v>
      </c>
      <c r="F15" s="337">
        <f>+F6-F13</f>
        <v>98888</v>
      </c>
      <c r="G15" s="370">
        <f>+G6-G13</f>
        <v>11376.299999999988</v>
      </c>
      <c r="H15" s="384">
        <f>+H6-H13</f>
        <v>0.16999999998370185</v>
      </c>
      <c r="I15" s="393"/>
      <c r="J15" s="393"/>
      <c r="K15" s="393"/>
      <c r="L15" s="100"/>
      <c r="M15" s="38"/>
      <c r="N15" s="38"/>
      <c r="O15" s="38"/>
      <c r="P15" s="38"/>
    </row>
    <row r="16" spans="1:16" x14ac:dyDescent="0.3">
      <c r="B16" s="222"/>
      <c r="C16" s="223"/>
      <c r="D16" s="287"/>
      <c r="E16" s="287"/>
      <c r="F16" s="330"/>
      <c r="G16" s="330"/>
      <c r="H16" s="330"/>
      <c r="I16" s="394"/>
      <c r="J16" s="394"/>
      <c r="K16" s="394"/>
      <c r="L16" s="224"/>
      <c r="M16" s="38"/>
      <c r="N16" s="38"/>
      <c r="O16" s="38"/>
      <c r="P16" s="38"/>
    </row>
    <row r="17" spans="2:16" x14ac:dyDescent="0.3">
      <c r="B17" s="231"/>
      <c r="C17" s="232" t="s">
        <v>86</v>
      </c>
      <c r="D17" s="286"/>
      <c r="E17" s="286"/>
      <c r="F17" s="13"/>
      <c r="G17" s="13"/>
      <c r="H17" s="13"/>
      <c r="I17" s="395"/>
      <c r="J17" s="395"/>
      <c r="K17" s="395"/>
      <c r="L17" s="233"/>
      <c r="M17" s="38"/>
      <c r="N17" s="38"/>
      <c r="O17" s="38"/>
      <c r="P17" s="38"/>
    </row>
    <row r="18" spans="2:16" x14ac:dyDescent="0.3">
      <c r="B18" s="234">
        <v>100</v>
      </c>
      <c r="C18" s="235" t="s">
        <v>120</v>
      </c>
      <c r="D18" s="1">
        <f>'100 Income'!D30</f>
        <v>173295</v>
      </c>
      <c r="E18" s="1">
        <f>+'100 Income'!E34</f>
        <v>87022</v>
      </c>
      <c r="F18" s="1">
        <f>'100 Income'!F30</f>
        <v>27335</v>
      </c>
      <c r="G18" s="349">
        <f>'100 Income'!G30</f>
        <v>52347.64</v>
      </c>
      <c r="H18" s="94">
        <f>'100 Income'!H30</f>
        <v>88068.200000000012</v>
      </c>
      <c r="I18" s="87">
        <f>IFERROR(G18/E18,"n/a")</f>
        <v>0.60154489669279032</v>
      </c>
      <c r="J18" s="87">
        <f>IFERROR(H18/E18,"n/a")</f>
        <v>1.0120222472478224</v>
      </c>
      <c r="K18" s="87">
        <f>IFERROR(H18/G18,"n/a")</f>
        <v>1.6823719273686457</v>
      </c>
      <c r="L18" s="233" t="s">
        <v>112</v>
      </c>
      <c r="M18" s="38"/>
      <c r="N18" s="38"/>
      <c r="O18" s="38"/>
      <c r="P18" s="38"/>
    </row>
    <row r="19" spans="2:16" x14ac:dyDescent="0.3">
      <c r="B19" s="234"/>
      <c r="C19" s="235" t="s">
        <v>243</v>
      </c>
      <c r="D19" s="1"/>
      <c r="E19" s="1"/>
      <c r="F19" s="1">
        <f>'100 Income'!F31</f>
        <v>24658</v>
      </c>
      <c r="G19" s="349">
        <f>'100 Income'!G31</f>
        <v>24658</v>
      </c>
      <c r="H19" s="94"/>
      <c r="I19" s="87"/>
      <c r="J19" s="87"/>
      <c r="K19" s="87"/>
      <c r="L19" s="233"/>
      <c r="M19" s="38"/>
      <c r="N19" s="38"/>
      <c r="O19" s="38"/>
      <c r="P19" s="38"/>
    </row>
    <row r="20" spans="2:16" x14ac:dyDescent="0.3">
      <c r="B20" s="234">
        <v>100</v>
      </c>
      <c r="C20" s="235" t="s">
        <v>90</v>
      </c>
      <c r="D20" s="1">
        <f>'100 Income'!D32</f>
        <v>0</v>
      </c>
      <c r="E20" s="1">
        <v>0</v>
      </c>
      <c r="F20" s="1">
        <v>0</v>
      </c>
      <c r="G20" s="349">
        <f>'100 Income'!G32</f>
        <v>0</v>
      </c>
      <c r="H20" s="94">
        <f>'100 Income'!H32</f>
        <v>0</v>
      </c>
      <c r="I20" s="87"/>
      <c r="J20" s="87"/>
      <c r="K20" s="87"/>
      <c r="L20" s="233" t="s">
        <v>113</v>
      </c>
      <c r="M20" s="38"/>
      <c r="N20" s="38"/>
      <c r="O20" s="38"/>
      <c r="P20" s="38"/>
    </row>
    <row r="21" spans="2:16" x14ac:dyDescent="0.3">
      <c r="B21" s="445"/>
      <c r="C21" s="447"/>
      <c r="D21" s="446"/>
      <c r="E21" s="1"/>
      <c r="F21" s="1"/>
      <c r="G21" s="1"/>
      <c r="H21" s="349"/>
      <c r="I21" s="94"/>
      <c r="J21" s="87"/>
      <c r="K21" s="87"/>
      <c r="L21" s="572"/>
      <c r="M21" s="38"/>
      <c r="N21" s="38"/>
      <c r="O21" s="38"/>
      <c r="P21" s="38"/>
    </row>
    <row r="22" spans="2:16" x14ac:dyDescent="0.3">
      <c r="B22" s="234"/>
      <c r="C22" s="236" t="s">
        <v>96</v>
      </c>
      <c r="D22" s="81">
        <f>SUM(D18:D20)</f>
        <v>173295</v>
      </c>
      <c r="E22" s="81">
        <f>SUM(E18:E20)</f>
        <v>87022</v>
      </c>
      <c r="F22" s="81">
        <f>SUM(F18:F20)</f>
        <v>51993</v>
      </c>
      <c r="G22" s="371">
        <f>SUM(G18:G20)</f>
        <v>77005.64</v>
      </c>
      <c r="H22" s="321">
        <f>SUM(H18:H21)</f>
        <v>88068.200000000012</v>
      </c>
      <c r="I22" s="396"/>
      <c r="J22" s="396"/>
      <c r="K22" s="396"/>
      <c r="L22" s="573"/>
      <c r="M22" s="38"/>
      <c r="N22" s="38"/>
      <c r="O22" s="38"/>
      <c r="P22" s="38"/>
    </row>
    <row r="23" spans="2:16" s="559" customFormat="1" x14ac:dyDescent="0.3">
      <c r="B23" s="557"/>
      <c r="C23" s="558"/>
      <c r="F23" s="560"/>
      <c r="G23" s="561"/>
      <c r="H23" s="562"/>
      <c r="I23" s="563"/>
      <c r="J23" s="563"/>
      <c r="K23" s="563"/>
      <c r="L23" s="574"/>
      <c r="M23" s="38"/>
      <c r="N23" s="38"/>
      <c r="O23" s="38"/>
      <c r="P23" s="38"/>
    </row>
    <row r="24" spans="2:16" x14ac:dyDescent="0.3">
      <c r="B24" s="234"/>
      <c r="C24" s="235"/>
      <c r="D24" s="13"/>
      <c r="E24" s="13"/>
      <c r="F24" s="1"/>
      <c r="G24" s="349"/>
      <c r="H24" s="94"/>
      <c r="I24" s="87"/>
      <c r="J24" s="87"/>
      <c r="K24" s="87"/>
      <c r="L24" s="233"/>
      <c r="M24" s="38"/>
      <c r="N24" s="38"/>
      <c r="O24" s="38"/>
      <c r="P24" s="38"/>
    </row>
    <row r="25" spans="2:16" x14ac:dyDescent="0.3">
      <c r="B25" s="234"/>
      <c r="C25" s="232" t="s">
        <v>81</v>
      </c>
      <c r="D25" s="288"/>
      <c r="E25" s="1"/>
      <c r="F25" s="1"/>
      <c r="G25" s="349"/>
      <c r="H25" s="94"/>
      <c r="I25" s="87"/>
      <c r="J25" s="87"/>
      <c r="K25" s="87"/>
      <c r="L25" s="233"/>
      <c r="M25" s="38"/>
      <c r="N25" s="38"/>
      <c r="O25" s="38"/>
      <c r="P25" s="38"/>
    </row>
    <row r="26" spans="2:16" x14ac:dyDescent="0.3">
      <c r="B26" s="234">
        <v>101</v>
      </c>
      <c r="C26" s="235" t="s">
        <v>87</v>
      </c>
      <c r="D26" s="1">
        <f>'101 Admin'!D35</f>
        <v>0</v>
      </c>
      <c r="E26" s="1">
        <f>'101 Admin'!E35</f>
        <v>0</v>
      </c>
      <c r="F26" s="1">
        <f>'101 Admin'!F35</f>
        <v>0</v>
      </c>
      <c r="G26" s="349">
        <f>'101 Admin'!G35</f>
        <v>0</v>
      </c>
      <c r="H26" s="94">
        <f>'101 Admin'!H35</f>
        <v>0</v>
      </c>
      <c r="I26" s="87" t="str">
        <f>IFERROR(G26/E26,"n/a")</f>
        <v>n/a</v>
      </c>
      <c r="J26" s="87" t="str">
        <f>IFERROR(H26/E26,"n/a")</f>
        <v>n/a</v>
      </c>
      <c r="K26" s="87" t="str">
        <f>IFERROR(H26/G26,"n/a")</f>
        <v>n/a</v>
      </c>
      <c r="L26" s="233" t="s">
        <v>114</v>
      </c>
      <c r="M26" s="38"/>
      <c r="N26" s="38"/>
      <c r="O26" s="38"/>
      <c r="P26" s="38"/>
    </row>
    <row r="27" spans="2:16" x14ac:dyDescent="0.3">
      <c r="B27" s="234">
        <v>104</v>
      </c>
      <c r="C27" s="235" t="s">
        <v>173</v>
      </c>
      <c r="D27" s="1">
        <f>'105 Community'!D29</f>
        <v>39242</v>
      </c>
      <c r="E27" s="1">
        <f>'105 Community'!E29</f>
        <v>329205</v>
      </c>
      <c r="F27" s="1">
        <f>'105 Community'!F29</f>
        <v>9108</v>
      </c>
      <c r="G27" s="349">
        <f>'105 Community'!G29</f>
        <v>23258</v>
      </c>
      <c r="H27" s="94">
        <f>'105 Community'!H29</f>
        <v>318543</v>
      </c>
      <c r="I27" s="87">
        <f>IFERROR(G27/E27,"n/a")</f>
        <v>7.0648987712823311E-2</v>
      </c>
      <c r="J27" s="87">
        <f>IFERROR(H27/E27,"n/a")</f>
        <v>0.96761288558800751</v>
      </c>
      <c r="K27" s="87">
        <f t="shared" ref="K27" si="3">IFERROR(H27/G27,"n/a")</f>
        <v>13.6960615702124</v>
      </c>
      <c r="L27" s="233" t="s">
        <v>221</v>
      </c>
      <c r="M27" s="38"/>
      <c r="N27" s="38"/>
      <c r="O27" s="38"/>
      <c r="P27" s="38"/>
    </row>
    <row r="28" spans="2:16" x14ac:dyDescent="0.3">
      <c r="B28" s="234">
        <v>301</v>
      </c>
      <c r="C28" s="235" t="s">
        <v>171</v>
      </c>
      <c r="D28" s="1">
        <f>'106 Estate Managment'!D52</f>
        <v>17385</v>
      </c>
      <c r="E28" s="1">
        <f>'106 Estate Managment'!E52</f>
        <v>177707</v>
      </c>
      <c r="F28" s="1">
        <f>'106 Estate Managment'!F52</f>
        <v>59168</v>
      </c>
      <c r="G28" s="349">
        <f>'106 Estate Managment'!G52</f>
        <v>136900</v>
      </c>
      <c r="H28" s="94">
        <f>'106 Estate Managment'!H52</f>
        <v>0</v>
      </c>
      <c r="I28" s="87">
        <f>IFERROR(G29/E28,"n/a")</f>
        <v>6.0155199288716821E-2</v>
      </c>
      <c r="J28" s="87">
        <f>IFERROR(H28/E28,"n/a")</f>
        <v>0</v>
      </c>
      <c r="K28" s="87">
        <f>IFERROR(H28/G29,"n/a")</f>
        <v>0</v>
      </c>
      <c r="L28" s="233" t="s">
        <v>222</v>
      </c>
      <c r="M28" s="38"/>
      <c r="N28" s="38"/>
      <c r="O28" s="38"/>
      <c r="P28" s="38"/>
    </row>
    <row r="29" spans="2:16" x14ac:dyDescent="0.3">
      <c r="B29" s="234">
        <v>302</v>
      </c>
      <c r="C29" s="235" t="s">
        <v>172</v>
      </c>
      <c r="D29" s="1">
        <f>'107 Planning and Highways'!D15</f>
        <v>2166</v>
      </c>
      <c r="E29" s="1">
        <f>'107 Planning and Highways'!E15</f>
        <v>25000</v>
      </c>
      <c r="F29" s="1">
        <f>'107 Planning and Highways'!F15</f>
        <v>690</v>
      </c>
      <c r="G29" s="349">
        <f>'107 Planning and Highways'!G15</f>
        <v>10690</v>
      </c>
      <c r="H29" s="94">
        <f>'107 Planning and Highways'!H15</f>
        <v>14235</v>
      </c>
      <c r="I29" s="87" t="str">
        <f>IFERROR(#REF!/E29,"n/a")</f>
        <v>n/a</v>
      </c>
      <c r="J29" s="87">
        <f>IFERROR(H29/E29,"n/a")</f>
        <v>0.56940000000000002</v>
      </c>
      <c r="K29" s="87" t="str">
        <f>IFERROR(H29/#REF!,"n/a")</f>
        <v>n/a</v>
      </c>
      <c r="L29" s="233" t="s">
        <v>223</v>
      </c>
      <c r="M29" s="38"/>
      <c r="N29" s="38"/>
      <c r="O29" s="38"/>
      <c r="P29" s="38"/>
    </row>
    <row r="30" spans="2:16" x14ac:dyDescent="0.3">
      <c r="B30" s="234"/>
      <c r="C30" s="235"/>
      <c r="D30" s="288"/>
      <c r="E30" s="1"/>
      <c r="F30" s="1"/>
      <c r="G30" s="349"/>
      <c r="H30" s="94"/>
      <c r="I30" s="87"/>
      <c r="J30" s="87"/>
      <c r="K30" s="87"/>
      <c r="L30" s="575"/>
      <c r="M30" s="38"/>
      <c r="N30" s="38"/>
      <c r="O30" s="38"/>
      <c r="P30" s="38"/>
    </row>
    <row r="31" spans="2:16" x14ac:dyDescent="0.3">
      <c r="B31" s="234"/>
      <c r="C31" s="236" t="s">
        <v>96</v>
      </c>
      <c r="D31" s="81">
        <f>SUM(D26:D30)</f>
        <v>58793</v>
      </c>
      <c r="E31" s="81">
        <f>SUM(E26:E30)</f>
        <v>531912</v>
      </c>
      <c r="F31" s="81">
        <f>SUM(F26:F30)</f>
        <v>68966</v>
      </c>
      <c r="G31" s="371">
        <f>SUM(G26:G30)</f>
        <v>170848</v>
      </c>
      <c r="H31" s="321">
        <f>SUM(H26:H29)</f>
        <v>332778</v>
      </c>
      <c r="I31" s="396"/>
      <c r="J31" s="396"/>
      <c r="K31" s="396"/>
      <c r="L31" s="573"/>
      <c r="M31" s="38"/>
      <c r="N31" s="38"/>
      <c r="O31" s="38"/>
      <c r="P31" s="38"/>
    </row>
    <row r="32" spans="2:16" x14ac:dyDescent="0.3">
      <c r="B32" s="234"/>
      <c r="C32" s="235"/>
      <c r="D32" s="1"/>
      <c r="E32" s="1"/>
      <c r="F32" s="1"/>
      <c r="G32" s="349"/>
      <c r="H32" s="94"/>
      <c r="I32" s="87"/>
      <c r="J32" s="87"/>
      <c r="K32" s="87"/>
      <c r="L32" s="233"/>
      <c r="M32" s="38"/>
      <c r="N32" s="38"/>
      <c r="O32" s="38"/>
      <c r="P32" s="38"/>
    </row>
    <row r="33" spans="2:16" ht="18" customHeight="1" x14ac:dyDescent="0.3">
      <c r="B33" s="237"/>
      <c r="C33" s="238" t="s">
        <v>88</v>
      </c>
      <c r="D33" s="335">
        <f>D22-SUM(D26:D29)</f>
        <v>114502</v>
      </c>
      <c r="E33" s="335">
        <f>E22-SUM(E26:E29)</f>
        <v>-444890</v>
      </c>
      <c r="F33" s="335">
        <f>F22-SUM(F26:F29)</f>
        <v>-16973</v>
      </c>
      <c r="G33" s="372">
        <f>G22-SUM(G26:G29)</f>
        <v>-93842.36</v>
      </c>
      <c r="H33" s="385">
        <f>H22-H31</f>
        <v>-244709.8</v>
      </c>
      <c r="I33" s="397">
        <f>IFERROR(G33/E33,"n/a")</f>
        <v>0.21093384881656141</v>
      </c>
      <c r="J33" s="397">
        <f>IFERROR(H33/E33,"n/a")</f>
        <v>0.55004562925667011</v>
      </c>
      <c r="K33" s="397">
        <f>IFERROR(H33/G33,"n/a")</f>
        <v>2.6076688608428005</v>
      </c>
      <c r="L33" s="239"/>
      <c r="M33" s="38"/>
      <c r="N33" s="38"/>
      <c r="O33" s="38"/>
      <c r="P33" s="38"/>
    </row>
    <row r="34" spans="2:16" ht="18" customHeight="1" thickBot="1" x14ac:dyDescent="0.35">
      <c r="B34" s="240"/>
      <c r="C34" s="241" t="s">
        <v>92</v>
      </c>
      <c r="D34" s="336">
        <f>+D33</f>
        <v>114502</v>
      </c>
      <c r="E34" s="336">
        <f>+E33</f>
        <v>-444890</v>
      </c>
      <c r="F34" s="336">
        <f>+F33</f>
        <v>-16973</v>
      </c>
      <c r="G34" s="373">
        <f>+G33</f>
        <v>-93842.36</v>
      </c>
      <c r="H34" s="386">
        <f>+H33</f>
        <v>-244709.8</v>
      </c>
      <c r="I34" s="398">
        <f>IFERROR(G34/E34,"n/a")</f>
        <v>0.21093384881656141</v>
      </c>
      <c r="J34" s="398">
        <f>IFERROR(H34/E34,"n/a")</f>
        <v>0.55004562925667011</v>
      </c>
      <c r="K34" s="398">
        <f>IFERROR(H34/G34,"n/a")</f>
        <v>2.6076688608428005</v>
      </c>
      <c r="L34" s="242"/>
      <c r="M34" s="38"/>
      <c r="N34" s="38"/>
      <c r="O34" s="38"/>
      <c r="P34" s="38"/>
    </row>
    <row r="35" spans="2:16" x14ac:dyDescent="0.3">
      <c r="B35" s="222"/>
      <c r="C35" s="223"/>
      <c r="D35" s="287"/>
      <c r="E35" s="330"/>
      <c r="F35" s="330"/>
      <c r="G35" s="330"/>
      <c r="H35" s="330"/>
      <c r="I35" s="394"/>
      <c r="J35" s="394"/>
      <c r="K35" s="394"/>
      <c r="L35" s="224"/>
      <c r="M35" s="38"/>
      <c r="N35" s="38"/>
      <c r="O35" s="38"/>
      <c r="P35" s="38"/>
    </row>
    <row r="36" spans="2:16" x14ac:dyDescent="0.3">
      <c r="B36" s="222"/>
      <c r="C36" s="223"/>
      <c r="D36" s="287"/>
      <c r="E36" s="330"/>
      <c r="F36" s="330"/>
      <c r="G36" s="330"/>
      <c r="H36" s="330"/>
      <c r="I36" s="399"/>
      <c r="J36" s="399"/>
      <c r="K36" s="399"/>
      <c r="L36" s="225"/>
      <c r="M36" s="38"/>
      <c r="N36" s="38"/>
      <c r="O36" s="38"/>
      <c r="P36" s="38"/>
    </row>
    <row r="37" spans="2:16" ht="28.95" customHeight="1" thickBot="1" x14ac:dyDescent="0.35">
      <c r="B37" s="226"/>
      <c r="C37" s="274" t="s">
        <v>7</v>
      </c>
      <c r="D37" s="68">
        <f>D6+D22-D13-D31</f>
        <v>157033</v>
      </c>
      <c r="E37" s="68">
        <f>E6+E22-E13-E31</f>
        <v>-444890</v>
      </c>
      <c r="F37" s="68">
        <f>F6+F22-F13-F31</f>
        <v>81915</v>
      </c>
      <c r="G37" s="351">
        <f>G6+G22-G13-G31</f>
        <v>-82466.06</v>
      </c>
      <c r="H37" s="324">
        <f>H6+H22-H13-H31</f>
        <v>-244709.63</v>
      </c>
      <c r="I37" s="400">
        <f>IFERROR(G37/E37,"n/a")</f>
        <v>0.18536280878419384</v>
      </c>
      <c r="J37" s="400">
        <f>IFERROR(H37/E37,"n/a")</f>
        <v>0.55004524713974245</v>
      </c>
      <c r="K37" s="398">
        <f>IFERROR(H37/G37,"n/a")</f>
        <v>2.9673981029286476</v>
      </c>
      <c r="L37" s="275"/>
      <c r="M37" s="38"/>
      <c r="N37" s="38"/>
      <c r="O37" s="38"/>
      <c r="P37" s="38"/>
    </row>
    <row r="38" spans="2:16" x14ac:dyDescent="0.3">
      <c r="M38" s="38"/>
      <c r="N38" s="38"/>
      <c r="O38" s="38"/>
      <c r="P38" s="38"/>
    </row>
    <row r="39" spans="2:16" x14ac:dyDescent="0.3">
      <c r="C39" s="96"/>
      <c r="F39" s="38"/>
      <c r="G39" s="38"/>
      <c r="H39" s="38"/>
      <c r="I39" s="439"/>
      <c r="M39" s="38"/>
      <c r="N39" s="38"/>
      <c r="O39" s="38"/>
      <c r="P39" s="38"/>
    </row>
    <row r="40" spans="2:16" x14ac:dyDescent="0.3">
      <c r="F40" s="38"/>
      <c r="G40" s="38"/>
      <c r="H40" s="38"/>
      <c r="J40" s="565"/>
      <c r="M40" s="38"/>
      <c r="N40" s="38"/>
      <c r="O40" s="38"/>
      <c r="P40" s="38"/>
    </row>
    <row r="41" spans="2:16" x14ac:dyDescent="0.3">
      <c r="D41" s="38"/>
      <c r="F41" s="38"/>
      <c r="G41" s="38"/>
      <c r="H41" s="38"/>
      <c r="J41" s="565"/>
      <c r="M41" s="38"/>
      <c r="N41" s="38"/>
      <c r="O41" s="38"/>
      <c r="P41" s="38"/>
    </row>
    <row r="42" spans="2:16" x14ac:dyDescent="0.3">
      <c r="D42" s="38"/>
      <c r="F42" s="38"/>
      <c r="G42" s="38"/>
      <c r="H42" s="38"/>
      <c r="M42" s="38"/>
      <c r="N42" s="38"/>
      <c r="O42" s="38"/>
      <c r="P42" s="38"/>
    </row>
    <row r="43" spans="2:16" x14ac:dyDescent="0.3">
      <c r="F43" s="38"/>
      <c r="G43" s="38"/>
      <c r="H43" s="38"/>
      <c r="M43" s="38"/>
      <c r="N43" s="38"/>
      <c r="O43" s="38"/>
      <c r="P43" s="38"/>
    </row>
    <row r="44" spans="2:16" x14ac:dyDescent="0.3">
      <c r="F44" s="38"/>
      <c r="G44" s="38"/>
      <c r="H44" s="38"/>
      <c r="M44" s="38"/>
      <c r="N44" s="38"/>
      <c r="O44" s="38"/>
      <c r="P44" s="38"/>
    </row>
    <row r="45" spans="2:16" x14ac:dyDescent="0.3">
      <c r="F45" s="38"/>
      <c r="G45" s="38"/>
      <c r="H45" s="38"/>
      <c r="M45" s="38"/>
      <c r="N45" s="38"/>
      <c r="O45" s="38"/>
      <c r="P45" s="38"/>
    </row>
    <row r="46" spans="2:16" x14ac:dyDescent="0.3">
      <c r="F46" s="38"/>
      <c r="G46" s="38"/>
      <c r="H46" s="38"/>
      <c r="M46" s="38"/>
      <c r="N46" s="38"/>
      <c r="O46" s="38"/>
      <c r="P46" s="38"/>
    </row>
    <row r="48" spans="2:16" x14ac:dyDescent="0.3">
      <c r="G48" s="38"/>
    </row>
    <row r="49" spans="4:7" x14ac:dyDescent="0.3">
      <c r="D49" s="38"/>
    </row>
    <row r="50" spans="4:7" x14ac:dyDescent="0.3">
      <c r="D50" s="38"/>
    </row>
    <row r="53" spans="4:7" x14ac:dyDescent="0.3">
      <c r="G53" s="38">
        <f>G18-F18</f>
        <v>25012.639999999999</v>
      </c>
    </row>
  </sheetData>
  <phoneticPr fontId="13" type="noConversion"/>
  <pageMargins left="0.75000000000000011" right="0.75000000000000011" top="1" bottom="1" header="0.5" footer="0.5"/>
  <pageSetup paperSize="9" scale="6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2"/>
  <sheetViews>
    <sheetView topLeftCell="A3" zoomScale="85" zoomScaleNormal="85" workbookViewId="0">
      <selection activeCell="C40" sqref="C40"/>
    </sheetView>
  </sheetViews>
  <sheetFormatPr defaultColWidth="11.19921875" defaultRowHeight="15.6" x14ac:dyDescent="0.3"/>
  <cols>
    <col min="1" max="1" width="5.19921875" customWidth="1"/>
    <col min="2" max="2" width="10.69921875" style="62" customWidth="1"/>
    <col min="3" max="3" width="51.796875" customWidth="1"/>
    <col min="4" max="4" width="12.5" customWidth="1"/>
    <col min="5" max="6" width="10.69921875" customWidth="1"/>
    <col min="7" max="7" width="12.19921875" customWidth="1"/>
    <col min="8" max="12" width="10.69921875" customWidth="1"/>
    <col min="13" max="13" width="53" customWidth="1"/>
  </cols>
  <sheetData>
    <row r="1" spans="2:13" ht="16.2" thickBot="1" x14ac:dyDescent="0.35"/>
    <row r="2" spans="2:13" ht="17.399999999999999" x14ac:dyDescent="0.3">
      <c r="B2" s="532" t="s">
        <v>210</v>
      </c>
      <c r="C2" s="533"/>
      <c r="D2" s="533"/>
      <c r="E2" s="533"/>
      <c r="F2" s="533"/>
      <c r="G2" s="533"/>
      <c r="H2" s="533"/>
      <c r="I2" s="533"/>
      <c r="J2" s="533"/>
      <c r="K2" s="533"/>
      <c r="L2" s="533"/>
      <c r="M2" s="537"/>
    </row>
    <row r="3" spans="2:13" ht="96" customHeight="1" thickBot="1" x14ac:dyDescent="0.35">
      <c r="B3" s="534"/>
      <c r="C3" s="535"/>
      <c r="D3" s="536" t="s">
        <v>211</v>
      </c>
      <c r="E3" s="536" t="s">
        <v>215</v>
      </c>
      <c r="F3" s="536" t="s">
        <v>247</v>
      </c>
      <c r="G3" s="536" t="s">
        <v>249</v>
      </c>
      <c r="H3" s="536">
        <v>46082</v>
      </c>
      <c r="I3" s="536" t="s">
        <v>265</v>
      </c>
      <c r="J3" s="536" t="s">
        <v>263</v>
      </c>
      <c r="K3" s="536" t="s">
        <v>264</v>
      </c>
      <c r="L3" s="536" t="s">
        <v>251</v>
      </c>
      <c r="M3" s="538" t="s">
        <v>8</v>
      </c>
    </row>
    <row r="4" spans="2:13" x14ac:dyDescent="0.3">
      <c r="B4" s="71">
        <v>310</v>
      </c>
      <c r="C4" s="72" t="s">
        <v>152</v>
      </c>
      <c r="D4" s="540">
        <v>101000</v>
      </c>
      <c r="E4" s="98"/>
      <c r="F4" s="98">
        <v>199888</v>
      </c>
      <c r="G4" s="98">
        <f>'Budget Summary'!G46-'Budget Summary'!F46</f>
        <v>0</v>
      </c>
      <c r="H4" s="98">
        <f>F4+G4</f>
        <v>199888</v>
      </c>
      <c r="I4" s="98">
        <f>-SUM(I5:I18)</f>
        <v>-13767</v>
      </c>
      <c r="J4" s="1">
        <f>H4+I4</f>
        <v>186121</v>
      </c>
      <c r="K4" s="98">
        <f>'Budget Summary'!H46</f>
        <v>0</v>
      </c>
      <c r="L4" s="1">
        <f>J4+K4</f>
        <v>186121</v>
      </c>
      <c r="M4" s="407" t="s">
        <v>224</v>
      </c>
    </row>
    <row r="5" spans="2:13" ht="40.200000000000003" x14ac:dyDescent="0.3">
      <c r="B5" s="71">
        <v>311</v>
      </c>
      <c r="C5" s="72" t="s">
        <v>151</v>
      </c>
      <c r="D5" s="1">
        <v>50000</v>
      </c>
      <c r="E5" s="1"/>
      <c r="F5" s="1">
        <v>50000</v>
      </c>
      <c r="G5" s="1">
        <v>0</v>
      </c>
      <c r="H5" s="1">
        <f t="shared" ref="H5:H18" si="0">F5+G5</f>
        <v>50000</v>
      </c>
      <c r="I5" s="1">
        <v>10000</v>
      </c>
      <c r="J5" s="1">
        <f>H5+I5</f>
        <v>60000</v>
      </c>
      <c r="K5" s="1"/>
      <c r="L5" s="1">
        <f>J5+K5</f>
        <v>60000</v>
      </c>
      <c r="M5" s="407" t="s">
        <v>155</v>
      </c>
    </row>
    <row r="6" spans="2:13" x14ac:dyDescent="0.3">
      <c r="B6" s="71">
        <v>320</v>
      </c>
      <c r="C6" s="72" t="s">
        <v>9</v>
      </c>
      <c r="D6" s="1">
        <v>100775.66</v>
      </c>
      <c r="E6" s="1">
        <v>0</v>
      </c>
      <c r="F6" s="1">
        <v>53141</v>
      </c>
      <c r="G6" s="1">
        <f>'106 Estate Managment'!F34-'106 Estate Managment'!G34</f>
        <v>-55249</v>
      </c>
      <c r="H6" s="1">
        <f t="shared" si="0"/>
        <v>-2108</v>
      </c>
      <c r="I6" s="1">
        <v>2108</v>
      </c>
      <c r="J6" s="1">
        <f>H6+I6</f>
        <v>0</v>
      </c>
      <c r="K6" s="1"/>
      <c r="L6" s="1">
        <f t="shared" ref="L6:L18" si="1">J6+K6</f>
        <v>0</v>
      </c>
      <c r="M6" s="407" t="s">
        <v>147</v>
      </c>
    </row>
    <row r="7" spans="2:13" x14ac:dyDescent="0.3">
      <c r="B7" s="71">
        <v>323</v>
      </c>
      <c r="C7" s="72" t="s">
        <v>122</v>
      </c>
      <c r="D7" s="1">
        <v>321800</v>
      </c>
      <c r="E7" s="1">
        <v>0</v>
      </c>
      <c r="F7" s="1">
        <v>312693</v>
      </c>
      <c r="G7" s="1">
        <f>'105 Community'!F26-'105 Community'!G26</f>
        <v>-4150</v>
      </c>
      <c r="H7" s="1">
        <f t="shared" si="0"/>
        <v>308543</v>
      </c>
      <c r="I7" s="1"/>
      <c r="J7" s="1">
        <f>H7+I7</f>
        <v>308543</v>
      </c>
      <c r="K7" s="1">
        <f>'105 Community'!H26*-1</f>
        <v>-308543</v>
      </c>
      <c r="L7" s="1">
        <f t="shared" si="1"/>
        <v>0</v>
      </c>
      <c r="M7" s="407" t="s">
        <v>148</v>
      </c>
    </row>
    <row r="8" spans="2:13" x14ac:dyDescent="0.3">
      <c r="B8" s="71">
        <v>351</v>
      </c>
      <c r="C8" s="72" t="s">
        <v>10</v>
      </c>
      <c r="D8" s="1">
        <v>1000</v>
      </c>
      <c r="E8" s="1">
        <v>0</v>
      </c>
      <c r="F8" s="1">
        <v>1000</v>
      </c>
      <c r="G8" s="1">
        <f>'106 Estate Managment'!F36-'106 Estate Managment'!G36</f>
        <v>-1000</v>
      </c>
      <c r="H8" s="1">
        <f t="shared" si="0"/>
        <v>0</v>
      </c>
      <c r="I8" s="1">
        <v>0</v>
      </c>
      <c r="J8" s="1">
        <f t="shared" ref="J8:J18" si="2">H8+I8</f>
        <v>0</v>
      </c>
      <c r="K8" s="1"/>
      <c r="L8" s="1">
        <f t="shared" si="1"/>
        <v>0</v>
      </c>
      <c r="M8" s="407" t="s">
        <v>149</v>
      </c>
    </row>
    <row r="9" spans="2:13" x14ac:dyDescent="0.3">
      <c r="B9" s="71">
        <v>353</v>
      </c>
      <c r="C9" s="72" t="s">
        <v>11</v>
      </c>
      <c r="D9" s="1">
        <v>5000</v>
      </c>
      <c r="E9" s="1">
        <v>0</v>
      </c>
      <c r="F9" s="1">
        <v>5000</v>
      </c>
      <c r="G9" s="1">
        <v>0</v>
      </c>
      <c r="H9" s="1">
        <f t="shared" si="0"/>
        <v>5000</v>
      </c>
      <c r="I9" s="1">
        <v>0</v>
      </c>
      <c r="J9" s="1">
        <f t="shared" si="2"/>
        <v>5000</v>
      </c>
      <c r="K9" s="1"/>
      <c r="L9" s="1">
        <f t="shared" si="1"/>
        <v>5000</v>
      </c>
      <c r="M9" s="407" t="s">
        <v>156</v>
      </c>
    </row>
    <row r="10" spans="2:13" ht="27" x14ac:dyDescent="0.3">
      <c r="B10" s="71">
        <v>326</v>
      </c>
      <c r="C10" s="72" t="s">
        <v>12</v>
      </c>
      <c r="D10" s="1">
        <v>50000</v>
      </c>
      <c r="E10" s="1">
        <v>0</v>
      </c>
      <c r="F10" s="1">
        <v>50000</v>
      </c>
      <c r="G10" s="1">
        <v>0</v>
      </c>
      <c r="H10" s="1">
        <f t="shared" si="0"/>
        <v>50000</v>
      </c>
      <c r="I10" s="1">
        <v>0</v>
      </c>
      <c r="J10" s="1">
        <f t="shared" si="2"/>
        <v>50000</v>
      </c>
      <c r="K10" s="1"/>
      <c r="L10" s="1">
        <f t="shared" si="1"/>
        <v>50000</v>
      </c>
      <c r="M10" s="407" t="s">
        <v>157</v>
      </c>
    </row>
    <row r="11" spans="2:13" ht="27" x14ac:dyDescent="0.3">
      <c r="B11" s="71">
        <v>329</v>
      </c>
      <c r="C11" s="72" t="s">
        <v>73</v>
      </c>
      <c r="D11" s="1">
        <v>12727</v>
      </c>
      <c r="E11" s="1">
        <v>0</v>
      </c>
      <c r="F11" s="1">
        <v>12727</v>
      </c>
      <c r="G11" s="1">
        <v>0</v>
      </c>
      <c r="H11" s="1">
        <f t="shared" si="0"/>
        <v>12727</v>
      </c>
      <c r="I11" s="1">
        <v>0</v>
      </c>
      <c r="J11" s="1">
        <f t="shared" si="2"/>
        <v>12727</v>
      </c>
      <c r="K11" s="1"/>
      <c r="L11" s="1">
        <f t="shared" si="1"/>
        <v>12727</v>
      </c>
      <c r="M11" s="407" t="s">
        <v>269</v>
      </c>
    </row>
    <row r="12" spans="2:13" ht="40.200000000000003" customHeight="1" x14ac:dyDescent="0.3">
      <c r="B12" s="71">
        <v>354</v>
      </c>
      <c r="C12" s="72" t="s">
        <v>14</v>
      </c>
      <c r="D12" s="1">
        <v>24925.13</v>
      </c>
      <c r="E12" s="1">
        <v>0</v>
      </c>
      <c r="F12" s="1">
        <v>24235</v>
      </c>
      <c r="G12" s="1">
        <f>'107 Planning and Highways'!F13-'107 Planning and Highways'!G13</f>
        <v>-10000</v>
      </c>
      <c r="H12" s="1">
        <f t="shared" si="0"/>
        <v>14235</v>
      </c>
      <c r="I12" s="1"/>
      <c r="J12" s="1">
        <f t="shared" si="2"/>
        <v>14235</v>
      </c>
      <c r="K12" s="1">
        <f>'107 Planning and Highways'!H13*-1</f>
        <v>-14235</v>
      </c>
      <c r="L12" s="1">
        <f t="shared" si="1"/>
        <v>0</v>
      </c>
      <c r="M12" s="407" t="s">
        <v>166</v>
      </c>
    </row>
    <row r="13" spans="2:13" ht="27" x14ac:dyDescent="0.3">
      <c r="B13" s="71">
        <v>356</v>
      </c>
      <c r="C13" s="72" t="s">
        <v>75</v>
      </c>
      <c r="D13" s="1">
        <v>8340.51</v>
      </c>
      <c r="E13" s="1">
        <v>0</v>
      </c>
      <c r="F13" s="1">
        <v>8341</v>
      </c>
      <c r="G13" s="1">
        <v>0</v>
      </c>
      <c r="H13" s="1">
        <f t="shared" si="0"/>
        <v>8341</v>
      </c>
      <c r="I13" s="1">
        <v>-8341</v>
      </c>
      <c r="J13" s="1">
        <f t="shared" si="2"/>
        <v>0</v>
      </c>
      <c r="K13" s="1"/>
      <c r="L13" s="1">
        <f t="shared" si="1"/>
        <v>0</v>
      </c>
      <c r="M13" s="407" t="s">
        <v>268</v>
      </c>
    </row>
    <row r="14" spans="2:13" ht="27" x14ac:dyDescent="0.3">
      <c r="B14" s="71">
        <v>357</v>
      </c>
      <c r="C14" s="72" t="s">
        <v>76</v>
      </c>
      <c r="D14" s="1">
        <v>10000</v>
      </c>
      <c r="E14" s="1">
        <v>0</v>
      </c>
      <c r="F14" s="1">
        <v>10000</v>
      </c>
      <c r="G14" s="1">
        <f>'105 Community'!F28-'105 Community'!G28</f>
        <v>-10000</v>
      </c>
      <c r="H14" s="1">
        <f t="shared" si="0"/>
        <v>0</v>
      </c>
      <c r="I14" s="1">
        <v>10000</v>
      </c>
      <c r="J14" s="1">
        <f t="shared" si="2"/>
        <v>10000</v>
      </c>
      <c r="K14" s="1">
        <f>'105 Community'!H28*-1</f>
        <v>-10000</v>
      </c>
      <c r="L14" s="1">
        <f t="shared" si="1"/>
        <v>0</v>
      </c>
      <c r="M14" s="407" t="s">
        <v>146</v>
      </c>
    </row>
    <row r="15" spans="2:13" x14ac:dyDescent="0.3">
      <c r="B15" s="71">
        <v>360</v>
      </c>
      <c r="C15" s="72" t="s">
        <v>212</v>
      </c>
      <c r="D15" s="1">
        <v>5684</v>
      </c>
      <c r="E15" s="1"/>
      <c r="F15" s="1">
        <v>0</v>
      </c>
      <c r="G15" s="1">
        <v>0</v>
      </c>
      <c r="H15" s="1">
        <f t="shared" si="0"/>
        <v>0</v>
      </c>
      <c r="I15" s="1">
        <v>0</v>
      </c>
      <c r="J15" s="1">
        <f t="shared" si="2"/>
        <v>0</v>
      </c>
      <c r="K15" s="1"/>
      <c r="L15" s="1">
        <f t="shared" si="1"/>
        <v>0</v>
      </c>
      <c r="M15" s="407" t="s">
        <v>267</v>
      </c>
    </row>
    <row r="16" spans="2:13" x14ac:dyDescent="0.3">
      <c r="B16" s="71">
        <v>361</v>
      </c>
      <c r="C16" s="72" t="s">
        <v>213</v>
      </c>
      <c r="D16" s="1">
        <v>1065</v>
      </c>
      <c r="E16" s="1"/>
      <c r="F16" s="1">
        <v>0</v>
      </c>
      <c r="G16" s="1">
        <f>'106 Estate Managment'!F45-'106 Estate Managment'!G45</f>
        <v>0</v>
      </c>
      <c r="H16" s="1">
        <f t="shared" si="0"/>
        <v>0</v>
      </c>
      <c r="I16" s="1">
        <v>0</v>
      </c>
      <c r="J16" s="1">
        <f t="shared" si="2"/>
        <v>0</v>
      </c>
      <c r="K16" s="1"/>
      <c r="L16" s="1">
        <f t="shared" si="1"/>
        <v>0</v>
      </c>
      <c r="M16" s="407" t="s">
        <v>267</v>
      </c>
    </row>
    <row r="17" spans="2:13" x14ac:dyDescent="0.3">
      <c r="B17" s="71">
        <v>362</v>
      </c>
      <c r="C17" s="72" t="s">
        <v>214</v>
      </c>
      <c r="D17" s="1">
        <v>4534</v>
      </c>
      <c r="E17" s="1"/>
      <c r="F17" s="1">
        <v>0</v>
      </c>
      <c r="G17" s="1">
        <f>'106 Estate Managment'!F47-'106 Estate Managment'!G47</f>
        <v>0</v>
      </c>
      <c r="H17" s="1">
        <f t="shared" si="0"/>
        <v>0</v>
      </c>
      <c r="I17" s="1">
        <v>0</v>
      </c>
      <c r="J17" s="1">
        <f t="shared" si="2"/>
        <v>0</v>
      </c>
      <c r="K17" s="1"/>
      <c r="L17" s="1">
        <f t="shared" si="1"/>
        <v>0</v>
      </c>
      <c r="M17" s="407" t="s">
        <v>267</v>
      </c>
    </row>
    <row r="18" spans="2:13" x14ac:dyDescent="0.3">
      <c r="B18" s="71">
        <v>363</v>
      </c>
      <c r="C18" s="72" t="s">
        <v>236</v>
      </c>
      <c r="D18" s="1"/>
      <c r="E18" s="1">
        <v>24658</v>
      </c>
      <c r="F18" s="1">
        <v>24658</v>
      </c>
      <c r="G18" s="1">
        <v>0</v>
      </c>
      <c r="H18" s="1">
        <f t="shared" si="0"/>
        <v>24658</v>
      </c>
      <c r="I18" s="1"/>
      <c r="J18" s="1">
        <f t="shared" si="2"/>
        <v>24658</v>
      </c>
      <c r="K18" s="1"/>
      <c r="L18" s="1">
        <f t="shared" si="1"/>
        <v>24658</v>
      </c>
      <c r="M18" s="407" t="s">
        <v>266</v>
      </c>
    </row>
    <row r="19" spans="2:13" ht="16.2" thickBot="1" x14ac:dyDescent="0.35">
      <c r="B19" s="63"/>
      <c r="C19" s="61" t="s">
        <v>15</v>
      </c>
      <c r="D19" s="68"/>
      <c r="E19" s="68"/>
      <c r="F19" s="68"/>
      <c r="G19" s="68"/>
      <c r="H19" s="68"/>
      <c r="I19" s="68"/>
      <c r="J19" s="68"/>
      <c r="K19" s="68"/>
      <c r="L19" s="68"/>
      <c r="M19" s="290"/>
    </row>
    <row r="20" spans="2:13" ht="31.2" customHeight="1" thickBot="1" x14ac:dyDescent="0.35">
      <c r="B20" s="63"/>
      <c r="C20" s="61" t="s">
        <v>16</v>
      </c>
      <c r="D20" s="68">
        <f>SUM(D5:D18)</f>
        <v>595851.30000000005</v>
      </c>
      <c r="E20" s="103"/>
      <c r="F20" s="68">
        <f>SUM(F5:F18)</f>
        <v>551795</v>
      </c>
      <c r="G20" s="68">
        <f>SUM(G5:G18)</f>
        <v>-80399</v>
      </c>
      <c r="H20" s="68">
        <f>SUM(H5:H18)</f>
        <v>471396</v>
      </c>
      <c r="I20" s="68">
        <f>SUM(I5:I18)</f>
        <v>13767</v>
      </c>
      <c r="J20" s="68"/>
      <c r="K20" s="68">
        <f>SUM(K5:K18)</f>
        <v>-332778</v>
      </c>
      <c r="L20" s="68">
        <f>SUM(L5:L18)</f>
        <v>152385</v>
      </c>
      <c r="M20" s="290"/>
    </row>
    <row r="21" spans="2:13" ht="28.2" customHeight="1" thickBot="1" x14ac:dyDescent="0.35">
      <c r="B21"/>
      <c r="D21" s="110"/>
      <c r="E21" s="292"/>
      <c r="F21" s="567"/>
      <c r="G21" s="567"/>
      <c r="H21" s="567"/>
      <c r="I21" s="567"/>
      <c r="J21" s="567"/>
      <c r="K21" s="567"/>
      <c r="L21" s="567"/>
      <c r="M21" s="292"/>
    </row>
    <row r="22" spans="2:13" ht="66.599999999999994" customHeight="1" thickBot="1" x14ac:dyDescent="0.35">
      <c r="B22" s="243" t="s">
        <v>17</v>
      </c>
      <c r="C22" s="549"/>
      <c r="D22" s="244">
        <v>45748</v>
      </c>
      <c r="E22" s="244" t="s">
        <v>215</v>
      </c>
      <c r="F22" s="556" t="s">
        <v>247</v>
      </c>
      <c r="G22" s="556" t="s">
        <v>249</v>
      </c>
      <c r="H22" s="556">
        <v>46082</v>
      </c>
      <c r="I22" s="556"/>
      <c r="J22" s="556"/>
      <c r="K22" s="556"/>
      <c r="L22" s="556"/>
      <c r="M22" s="293"/>
    </row>
    <row r="23" spans="2:13" ht="19.2" customHeight="1" x14ac:dyDescent="0.3">
      <c r="B23" s="283">
        <v>325</v>
      </c>
      <c r="C23" s="245" t="s">
        <v>259</v>
      </c>
      <c r="D23" s="1"/>
      <c r="E23" s="1"/>
      <c r="F23" s="1"/>
      <c r="G23" s="1">
        <f>'100 Income'!G30-'100 Income'!F30</f>
        <v>25012.639999999999</v>
      </c>
      <c r="H23" s="1">
        <f>G23</f>
        <v>25012.639999999999</v>
      </c>
      <c r="I23" s="1"/>
      <c r="J23" s="1"/>
      <c r="K23" s="129"/>
      <c r="L23" s="1">
        <f t="shared" ref="L23:L28" si="3">H23+K23</f>
        <v>25012.639999999999</v>
      </c>
      <c r="M23" s="294"/>
    </row>
    <row r="24" spans="2:13" ht="46.95" customHeight="1" x14ac:dyDescent="0.3">
      <c r="B24" s="246">
        <v>334</v>
      </c>
      <c r="C24" s="245" t="s">
        <v>18</v>
      </c>
      <c r="D24" s="1">
        <v>0</v>
      </c>
      <c r="E24" s="1">
        <v>0</v>
      </c>
      <c r="F24" s="1"/>
      <c r="G24" s="1"/>
      <c r="H24" s="1"/>
      <c r="I24" s="1"/>
      <c r="J24" s="1"/>
      <c r="K24" s="1"/>
      <c r="L24" s="1">
        <f t="shared" si="3"/>
        <v>0</v>
      </c>
      <c r="M24" s="440"/>
    </row>
    <row r="25" spans="2:13" x14ac:dyDescent="0.3">
      <c r="B25" s="246">
        <v>335</v>
      </c>
      <c r="C25" s="245" t="s">
        <v>95</v>
      </c>
      <c r="D25" s="1">
        <v>0</v>
      </c>
      <c r="E25" s="1">
        <v>0</v>
      </c>
      <c r="F25" s="1"/>
      <c r="G25" s="1"/>
      <c r="H25" s="1"/>
      <c r="I25" s="1"/>
      <c r="J25" s="1"/>
      <c r="K25" s="1"/>
      <c r="L25" s="1">
        <f t="shared" si="3"/>
        <v>0</v>
      </c>
      <c r="M25" s="407"/>
    </row>
    <row r="26" spans="2:13" x14ac:dyDescent="0.3">
      <c r="B26" s="246">
        <v>336</v>
      </c>
      <c r="C26" s="245" t="s">
        <v>121</v>
      </c>
      <c r="D26" s="1">
        <v>0</v>
      </c>
      <c r="E26" s="1">
        <v>0</v>
      </c>
      <c r="F26" s="1"/>
      <c r="G26" s="1"/>
      <c r="H26" s="1"/>
      <c r="I26" s="1"/>
      <c r="J26" s="1"/>
      <c r="K26" s="1"/>
      <c r="L26" s="1">
        <f t="shared" si="3"/>
        <v>0</v>
      </c>
      <c r="M26" s="407"/>
    </row>
    <row r="27" spans="2:13" x14ac:dyDescent="0.3">
      <c r="B27" s="246">
        <v>337</v>
      </c>
      <c r="C27" s="245" t="s">
        <v>133</v>
      </c>
      <c r="D27" s="1">
        <v>10397.700000000001</v>
      </c>
      <c r="E27" s="1">
        <v>0</v>
      </c>
      <c r="F27" s="1">
        <v>10148</v>
      </c>
      <c r="G27" s="1">
        <f>'106 Estate Managment'!F43-'106 Estate Managment'!G43+11335</f>
        <v>-10148</v>
      </c>
      <c r="H27" s="1">
        <f>F27+G27</f>
        <v>0</v>
      </c>
      <c r="I27" s="1"/>
      <c r="J27" s="1"/>
      <c r="K27" s="1"/>
      <c r="L27" s="1">
        <f t="shared" si="3"/>
        <v>0</v>
      </c>
      <c r="M27" s="289"/>
    </row>
    <row r="28" spans="2:13" ht="16.2" thickBot="1" x14ac:dyDescent="0.35">
      <c r="B28" s="246">
        <v>338</v>
      </c>
      <c r="C28" s="245" t="s">
        <v>216</v>
      </c>
      <c r="D28" s="1">
        <v>0</v>
      </c>
      <c r="E28" s="1">
        <v>27335</v>
      </c>
      <c r="F28" s="1">
        <v>27335</v>
      </c>
      <c r="G28" s="1">
        <v>-11335</v>
      </c>
      <c r="H28" s="1">
        <f>F28+G28</f>
        <v>16000</v>
      </c>
      <c r="I28" s="1"/>
      <c r="J28" s="1"/>
      <c r="K28" s="1"/>
      <c r="L28" s="1">
        <f t="shared" si="3"/>
        <v>16000</v>
      </c>
      <c r="M28" s="295"/>
    </row>
    <row r="29" spans="2:13" ht="25.2" customHeight="1" x14ac:dyDescent="0.3">
      <c r="B29" s="247"/>
      <c r="C29" s="248" t="s">
        <v>15</v>
      </c>
      <c r="D29" s="249"/>
      <c r="E29" s="249">
        <f>SUM(E23:E28)</f>
        <v>27335</v>
      </c>
      <c r="F29" s="249"/>
      <c r="G29" s="249"/>
      <c r="H29" s="249"/>
      <c r="I29" s="249"/>
      <c r="J29" s="249"/>
      <c r="K29" s="249"/>
      <c r="L29" s="249"/>
      <c r="M29" s="296"/>
    </row>
    <row r="30" spans="2:13" ht="28.2" customHeight="1" x14ac:dyDescent="0.3">
      <c r="B30" s="250"/>
      <c r="C30" s="251" t="s">
        <v>19</v>
      </c>
      <c r="D30" s="93">
        <f>SUM(D23:D28)</f>
        <v>10397.700000000001</v>
      </c>
      <c r="E30" s="93"/>
      <c r="F30" s="93">
        <f>SUM(F23:F28)</f>
        <v>37483</v>
      </c>
      <c r="G30" s="93">
        <f>SUM(G23:G28)</f>
        <v>3529.6399999999994</v>
      </c>
      <c r="H30" s="93">
        <f>SUM(H23:H28)</f>
        <v>41012.639999999999</v>
      </c>
      <c r="I30" s="93"/>
      <c r="J30" s="93"/>
      <c r="K30" s="93"/>
      <c r="L30" s="93">
        <f>SUM(L23:L28)</f>
        <v>41012.639999999999</v>
      </c>
      <c r="M30" s="297"/>
    </row>
    <row r="31" spans="2:13" x14ac:dyDescent="0.3">
      <c r="B31" s="252"/>
      <c r="C31" s="110"/>
      <c r="D31" s="110"/>
      <c r="E31" s="110"/>
      <c r="F31" s="110"/>
      <c r="G31" s="110"/>
      <c r="H31" s="110"/>
      <c r="I31" s="110"/>
      <c r="J31" s="110"/>
      <c r="K31" s="110"/>
      <c r="L31" s="110"/>
      <c r="M31" s="298"/>
    </row>
    <row r="32" spans="2:13" ht="15" customHeight="1" thickBot="1" x14ac:dyDescent="0.35">
      <c r="B32" s="252"/>
      <c r="C32" s="110"/>
      <c r="D32" s="110"/>
      <c r="E32" s="110"/>
      <c r="F32" s="110"/>
      <c r="G32" s="110"/>
      <c r="H32" s="110"/>
      <c r="I32" s="110"/>
      <c r="J32" s="110"/>
      <c r="K32" s="110"/>
      <c r="L32" s="110"/>
      <c r="M32" s="291"/>
    </row>
    <row r="33" spans="2:13" ht="31.2" customHeight="1" thickBot="1" x14ac:dyDescent="0.35">
      <c r="B33" s="253"/>
      <c r="C33" s="254" t="s">
        <v>20</v>
      </c>
      <c r="D33" s="255">
        <f>D20+D30</f>
        <v>606249</v>
      </c>
      <c r="E33" s="255"/>
      <c r="F33" s="255">
        <f>F20+F30</f>
        <v>589278</v>
      </c>
      <c r="G33" s="255">
        <f>G20+G30</f>
        <v>-76869.36</v>
      </c>
      <c r="H33" s="564">
        <f>H20+H30</f>
        <v>512408.64</v>
      </c>
      <c r="I33" s="564"/>
      <c r="J33" s="564"/>
      <c r="K33" s="564"/>
      <c r="L33" s="564">
        <f>L20+L30</f>
        <v>193397.64</v>
      </c>
      <c r="M33" s="299"/>
    </row>
    <row r="34" spans="2:13" ht="31.2" customHeight="1" x14ac:dyDescent="0.3">
      <c r="B34" s="552"/>
      <c r="C34" s="553" t="s">
        <v>248</v>
      </c>
      <c r="D34" s="554"/>
      <c r="E34" s="554"/>
      <c r="F34" s="554">
        <f>F33-D33</f>
        <v>-16971</v>
      </c>
      <c r="G34" s="554"/>
      <c r="H34" s="554">
        <f>H33-D33</f>
        <v>-93840.359999999986</v>
      </c>
      <c r="I34" s="554"/>
      <c r="J34" s="554"/>
      <c r="K34" s="554"/>
      <c r="L34" s="554">
        <f>L33-H33</f>
        <v>-319011</v>
      </c>
      <c r="M34" s="555"/>
    </row>
    <row r="35" spans="2:13" ht="31.2" customHeight="1" x14ac:dyDescent="0.3">
      <c r="B35" s="552"/>
      <c r="C35" s="553"/>
      <c r="D35" s="554"/>
      <c r="E35" s="554"/>
      <c r="F35" s="554"/>
      <c r="G35" s="554"/>
      <c r="H35" s="554">
        <f>'Budget Summary'!G41</f>
        <v>0</v>
      </c>
      <c r="I35" s="554"/>
      <c r="J35" s="554"/>
      <c r="K35" s="554"/>
      <c r="L35" s="554">
        <f>'Budget Summary'!H41</f>
        <v>0</v>
      </c>
      <c r="M35" s="555"/>
    </row>
    <row r="36" spans="2:13" ht="15" customHeight="1" x14ac:dyDescent="0.3">
      <c r="H36" s="38">
        <f>H35-H34</f>
        <v>93840.359999999986</v>
      </c>
      <c r="I36" s="38"/>
      <c r="J36" s="38"/>
      <c r="K36" s="38"/>
      <c r="L36" s="38">
        <f>L35-L34</f>
        <v>319011</v>
      </c>
    </row>
    <row r="37" spans="2:13" ht="15" customHeight="1" x14ac:dyDescent="0.3">
      <c r="C37" s="571" t="s">
        <v>153</v>
      </c>
      <c r="D37" s="571"/>
      <c r="E37" s="571"/>
      <c r="F37" s="571"/>
      <c r="G37" s="571"/>
      <c r="H37" s="571"/>
      <c r="I37" s="571"/>
      <c r="J37" s="571"/>
      <c r="K37" s="571"/>
      <c r="L37" s="571"/>
    </row>
    <row r="38" spans="2:13" ht="15" customHeight="1" x14ac:dyDescent="0.3">
      <c r="C38" s="104">
        <f>'Budget Summary'!H13</f>
        <v>200623.65000000002</v>
      </c>
      <c r="D38" s="570" t="s">
        <v>21</v>
      </c>
      <c r="E38" s="570"/>
      <c r="F38" s="570"/>
      <c r="G38" s="570"/>
      <c r="H38" s="570"/>
      <c r="I38" s="570"/>
      <c r="J38" s="570"/>
      <c r="K38" s="570"/>
      <c r="L38" s="570"/>
    </row>
    <row r="39" spans="2:13" ht="15" customHeight="1" x14ac:dyDescent="0.3">
      <c r="C39" s="104">
        <f>C38*0.25</f>
        <v>50155.912500000006</v>
      </c>
      <c r="D39" s="570" t="s">
        <v>154</v>
      </c>
      <c r="E39" s="570"/>
      <c r="F39" s="570"/>
      <c r="G39" s="570"/>
      <c r="H39" s="570"/>
      <c r="I39" s="570"/>
      <c r="J39" s="570"/>
      <c r="K39" s="570"/>
      <c r="L39" s="570"/>
    </row>
    <row r="40" spans="2:13" ht="15" customHeight="1" x14ac:dyDescent="0.3">
      <c r="C40" s="105">
        <v>60000</v>
      </c>
      <c r="D40" s="570" t="s">
        <v>170</v>
      </c>
      <c r="E40" s="570"/>
      <c r="F40" s="570"/>
      <c r="G40" s="570"/>
      <c r="H40" s="570"/>
      <c r="I40" s="570"/>
      <c r="J40" s="570"/>
      <c r="K40" s="570"/>
      <c r="L40" s="570"/>
    </row>
    <row r="41" spans="2:13" ht="15" customHeight="1" x14ac:dyDescent="0.3">
      <c r="C41" s="106"/>
      <c r="D41" s="570"/>
      <c r="E41" s="570"/>
      <c r="F41" s="570"/>
      <c r="G41" s="570"/>
      <c r="H41" s="570"/>
      <c r="I41" s="570"/>
      <c r="J41" s="570"/>
      <c r="K41" s="570"/>
      <c r="L41" s="570"/>
    </row>
    <row r="42" spans="2:13" ht="15" customHeight="1" x14ac:dyDescent="0.3"/>
    <row r="43" spans="2:13" ht="15" customHeight="1" x14ac:dyDescent="0.3"/>
    <row r="44" spans="2:13" ht="15" customHeight="1" x14ac:dyDescent="0.3">
      <c r="C44" t="s">
        <v>254</v>
      </c>
      <c r="D44" s="277"/>
      <c r="E44" s="278" t="s">
        <v>255</v>
      </c>
      <c r="F44" s="278"/>
      <c r="G44" s="278">
        <f>'105 Community'!G35</f>
        <v>14150</v>
      </c>
      <c r="H44" s="278"/>
      <c r="I44" s="278"/>
      <c r="J44" s="278"/>
      <c r="K44" s="278"/>
      <c r="L44" s="278"/>
    </row>
    <row r="45" spans="2:13" ht="15" customHeight="1" x14ac:dyDescent="0.3">
      <c r="D45" s="278"/>
      <c r="E45" s="278" t="s">
        <v>256</v>
      </c>
      <c r="F45" s="278"/>
      <c r="G45" s="278">
        <f>'106 Estate Managment'!G58</f>
        <v>77732</v>
      </c>
      <c r="H45" s="278"/>
      <c r="I45" s="278"/>
      <c r="J45" s="278"/>
      <c r="K45" s="278"/>
      <c r="L45" s="278"/>
    </row>
    <row r="46" spans="2:13" ht="15" customHeight="1" x14ac:dyDescent="0.3">
      <c r="D46" s="278"/>
      <c r="E46" s="278" t="s">
        <v>257</v>
      </c>
      <c r="F46" s="278"/>
      <c r="G46" s="278">
        <f>'107 Planning and Highways'!G21</f>
        <v>10000</v>
      </c>
      <c r="H46" s="278"/>
      <c r="I46" s="278"/>
      <c r="J46" s="278"/>
      <c r="K46" s="278"/>
      <c r="L46" s="278"/>
    </row>
    <row r="47" spans="2:13" ht="15" customHeight="1" x14ac:dyDescent="0.3">
      <c r="D47" s="278"/>
      <c r="E47" s="278" t="s">
        <v>258</v>
      </c>
      <c r="F47" s="278"/>
      <c r="G47" s="278"/>
      <c r="H47" s="278"/>
      <c r="I47" s="278"/>
      <c r="J47" s="278"/>
      <c r="K47" s="278"/>
      <c r="L47" s="278"/>
    </row>
    <row r="48" spans="2:13" ht="15" customHeight="1" x14ac:dyDescent="0.3">
      <c r="D48" s="278"/>
      <c r="E48" s="278"/>
      <c r="F48" s="278"/>
      <c r="G48" s="278"/>
      <c r="H48" s="278"/>
      <c r="I48" s="278"/>
      <c r="J48" s="278"/>
      <c r="K48" s="278"/>
      <c r="L48" s="278"/>
    </row>
    <row r="49" spans="4:12" ht="15" customHeight="1" x14ac:dyDescent="0.3">
      <c r="D49" s="278"/>
      <c r="E49" s="278"/>
      <c r="F49" s="278"/>
      <c r="G49" s="278">
        <f>SUM(G44:G48)</f>
        <v>101882</v>
      </c>
      <c r="H49" s="278"/>
      <c r="I49" s="278"/>
      <c r="J49" s="278"/>
      <c r="K49" s="278"/>
      <c r="L49" s="278"/>
    </row>
    <row r="50" spans="4:12" ht="15" customHeight="1" x14ac:dyDescent="0.3"/>
    <row r="51" spans="4:12" ht="15" customHeight="1" x14ac:dyDescent="0.3"/>
    <row r="52" spans="4:12" x14ac:dyDescent="0.3">
      <c r="G52" s="38">
        <f>G27+G28+G6+G8</f>
        <v>-77732</v>
      </c>
    </row>
  </sheetData>
  <mergeCells count="5">
    <mergeCell ref="D41:L41"/>
    <mergeCell ref="C37:L37"/>
    <mergeCell ref="D38:L38"/>
    <mergeCell ref="D39:L39"/>
    <mergeCell ref="D40:L40"/>
  </mergeCells>
  <phoneticPr fontId="13" type="noConversion"/>
  <pageMargins left="0.75000000000000011" right="0.75000000000000011" top="1" bottom="1" header="0.5" footer="0.5"/>
  <pageSetup paperSize="9" scale="63" orientation="landscape" r:id="rId1"/>
  <ignoredErrors>
    <ignoredError sqref="D30"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41"/>
  <sheetViews>
    <sheetView workbookViewId="0">
      <selection activeCell="N25" sqref="N25"/>
    </sheetView>
  </sheetViews>
  <sheetFormatPr defaultColWidth="11.19921875" defaultRowHeight="15.6" x14ac:dyDescent="0.3"/>
  <cols>
    <col min="1" max="1" width="5.19921875" customWidth="1"/>
    <col min="2" max="2" width="10.69921875" customWidth="1"/>
    <col min="3" max="3" width="35" customWidth="1"/>
    <col min="4" max="11" width="13.5" customWidth="1"/>
    <col min="12" max="12" width="61.8984375" customWidth="1"/>
  </cols>
  <sheetData>
    <row r="1" spans="2:12" ht="16.2" thickBot="1" x14ac:dyDescent="0.35"/>
    <row r="2" spans="2:12" ht="21" x14ac:dyDescent="0.3">
      <c r="B2" s="477" t="s">
        <v>193</v>
      </c>
      <c r="C2" s="478"/>
      <c r="D2" s="478"/>
      <c r="E2" s="479"/>
      <c r="F2" s="479"/>
      <c r="G2" s="480"/>
      <c r="H2" s="480"/>
      <c r="I2" s="481"/>
      <c r="J2" s="481"/>
      <c r="K2" s="481"/>
      <c r="L2" s="482"/>
    </row>
    <row r="3" spans="2:12" ht="21" x14ac:dyDescent="0.3">
      <c r="B3" s="483" t="s">
        <v>22</v>
      </c>
      <c r="C3" s="484"/>
      <c r="D3" s="485"/>
      <c r="E3" s="486"/>
      <c r="F3" s="486"/>
      <c r="G3" s="487"/>
      <c r="H3" s="487"/>
      <c r="I3" s="488"/>
      <c r="J3" s="488"/>
      <c r="K3" s="488"/>
      <c r="L3" s="489"/>
    </row>
    <row r="4" spans="2:12" ht="63" thickBot="1" x14ac:dyDescent="0.35">
      <c r="B4" s="490" t="s">
        <v>23</v>
      </c>
      <c r="C4" s="491" t="s">
        <v>24</v>
      </c>
      <c r="D4" s="473" t="s">
        <v>186</v>
      </c>
      <c r="E4" s="473" t="s">
        <v>131</v>
      </c>
      <c r="F4" s="473" t="s">
        <v>227</v>
      </c>
      <c r="G4" s="475" t="s">
        <v>187</v>
      </c>
      <c r="H4" s="475" t="s">
        <v>188</v>
      </c>
      <c r="I4" s="474" t="s">
        <v>189</v>
      </c>
      <c r="J4" s="473" t="s">
        <v>190</v>
      </c>
      <c r="K4" s="473" t="s">
        <v>191</v>
      </c>
      <c r="L4" s="476" t="s">
        <v>192</v>
      </c>
    </row>
    <row r="5" spans="2:12" x14ac:dyDescent="0.3">
      <c r="B5" s="15">
        <v>1010</v>
      </c>
      <c r="C5" s="48" t="s">
        <v>25</v>
      </c>
      <c r="D5" s="119">
        <v>0</v>
      </c>
      <c r="E5" s="69">
        <v>0</v>
      </c>
      <c r="F5" s="69">
        <v>0</v>
      </c>
      <c r="G5" s="346">
        <v>0</v>
      </c>
      <c r="H5" s="107">
        <v>0</v>
      </c>
      <c r="I5" s="114" t="str">
        <f t="shared" ref="I5:I36" si="0">IFERROR(G5/E5,"n/a")</f>
        <v>n/a</v>
      </c>
      <c r="J5" s="114" t="str">
        <f t="shared" ref="J5:J36" si="1">IFERROR(H5/E5,"n/a")</f>
        <v>n/a</v>
      </c>
      <c r="K5" s="114" t="str">
        <f>IFERROR(H5/G5,"n/a")</f>
        <v>n/a</v>
      </c>
      <c r="L5" s="409"/>
    </row>
    <row r="6" spans="2:12" x14ac:dyDescent="0.3">
      <c r="B6" s="14"/>
      <c r="C6" s="45"/>
      <c r="D6" s="74"/>
      <c r="E6" s="111"/>
      <c r="F6" s="111"/>
      <c r="G6" s="112"/>
      <c r="H6" s="320"/>
      <c r="I6" s="115"/>
      <c r="J6" s="115"/>
      <c r="K6" s="115"/>
      <c r="L6" s="410"/>
    </row>
    <row r="7" spans="2:12" s="164" customFormat="1" x14ac:dyDescent="0.3">
      <c r="B7" s="345">
        <v>1107</v>
      </c>
      <c r="C7" s="48" t="s">
        <v>90</v>
      </c>
      <c r="D7" s="119">
        <v>400</v>
      </c>
      <c r="E7" s="69">
        <v>0</v>
      </c>
      <c r="F7" s="69">
        <v>160</v>
      </c>
      <c r="G7" s="401">
        <v>0</v>
      </c>
      <c r="H7" s="69">
        <v>0</v>
      </c>
      <c r="I7" s="114" t="str">
        <f t="shared" si="0"/>
        <v>n/a</v>
      </c>
      <c r="J7" s="114" t="str">
        <f t="shared" si="1"/>
        <v>n/a</v>
      </c>
      <c r="K7" s="114" t="str">
        <f>IFERROR(H7/G7,"n/a")</f>
        <v>n/a</v>
      </c>
      <c r="L7" s="411"/>
    </row>
    <row r="8" spans="2:12" x14ac:dyDescent="0.3">
      <c r="B8" s="9"/>
      <c r="C8" s="45"/>
      <c r="D8" s="74"/>
      <c r="E8" s="73"/>
      <c r="F8" s="73"/>
      <c r="G8" s="109"/>
      <c r="H8" s="108"/>
      <c r="I8" s="113"/>
      <c r="J8" s="113"/>
      <c r="K8" s="113"/>
      <c r="L8" s="412"/>
    </row>
    <row r="9" spans="2:12" x14ac:dyDescent="0.3">
      <c r="B9" s="15">
        <v>1020</v>
      </c>
      <c r="C9" s="48" t="s">
        <v>26</v>
      </c>
      <c r="D9" s="119">
        <v>243</v>
      </c>
      <c r="E9" s="69">
        <v>243</v>
      </c>
      <c r="F9" s="69">
        <v>0</v>
      </c>
      <c r="G9" s="346">
        <v>243</v>
      </c>
      <c r="H9" s="107">
        <v>243</v>
      </c>
      <c r="I9" s="114">
        <f t="shared" si="0"/>
        <v>1</v>
      </c>
      <c r="J9" s="114">
        <f t="shared" si="1"/>
        <v>1</v>
      </c>
      <c r="K9" s="114">
        <f>IFERROR(H9/G9,"n/a")</f>
        <v>1</v>
      </c>
      <c r="L9" s="413" t="s">
        <v>158</v>
      </c>
    </row>
    <row r="10" spans="2:12" x14ac:dyDescent="0.3">
      <c r="B10" s="9"/>
      <c r="C10" s="45"/>
      <c r="D10" s="74"/>
      <c r="E10" s="73"/>
      <c r="F10" s="73"/>
      <c r="G10" s="109"/>
      <c r="H10" s="108"/>
      <c r="I10" s="113"/>
      <c r="J10" s="113"/>
      <c r="K10" s="113"/>
      <c r="L10" s="412"/>
    </row>
    <row r="11" spans="2:12" ht="27" x14ac:dyDescent="0.3">
      <c r="B11" s="15">
        <v>1076</v>
      </c>
      <c r="C11" s="48" t="s">
        <v>27</v>
      </c>
      <c r="D11" s="119">
        <v>149319</v>
      </c>
      <c r="E11" s="69">
        <v>161729</v>
      </c>
      <c r="F11" s="69">
        <v>161729</v>
      </c>
      <c r="G11" s="346">
        <v>161729</v>
      </c>
      <c r="H11" s="154">
        <v>171433</v>
      </c>
      <c r="I11" s="114">
        <f t="shared" si="0"/>
        <v>1</v>
      </c>
      <c r="J11" s="114">
        <f t="shared" si="1"/>
        <v>1.0600016076275744</v>
      </c>
      <c r="K11" s="114">
        <f>IFERROR(H11/G11,"n/a")</f>
        <v>1.0600016076275744</v>
      </c>
      <c r="L11" s="411" t="s">
        <v>275</v>
      </c>
    </row>
    <row r="12" spans="2:12" x14ac:dyDescent="0.3">
      <c r="B12" s="9"/>
      <c r="C12" s="45"/>
      <c r="D12" s="74">
        <v>0</v>
      </c>
      <c r="E12" s="73"/>
      <c r="F12" s="73"/>
      <c r="G12" s="109"/>
      <c r="H12" s="108"/>
      <c r="I12" s="113"/>
      <c r="J12" s="113"/>
      <c r="K12" s="113"/>
      <c r="L12" s="414"/>
    </row>
    <row r="13" spans="2:12" ht="53.4" x14ac:dyDescent="0.3">
      <c r="B13" s="15">
        <v>1090</v>
      </c>
      <c r="C13" s="48" t="s">
        <v>28</v>
      </c>
      <c r="D13" s="119">
        <v>31819</v>
      </c>
      <c r="E13" s="69">
        <v>24000</v>
      </c>
      <c r="F13" s="69">
        <v>12328</v>
      </c>
      <c r="G13" s="346">
        <v>24656</v>
      </c>
      <c r="H13" s="107">
        <v>12174</v>
      </c>
      <c r="I13" s="114">
        <f t="shared" si="0"/>
        <v>1.0273333333333334</v>
      </c>
      <c r="J13" s="114">
        <f t="shared" si="1"/>
        <v>0.50724999999999998</v>
      </c>
      <c r="K13" s="114">
        <f>IFERROR(H13/G13,"n/a")</f>
        <v>0.49375405580791693</v>
      </c>
      <c r="L13" s="411" t="s">
        <v>276</v>
      </c>
    </row>
    <row r="14" spans="2:12" x14ac:dyDescent="0.3">
      <c r="B14" s="9"/>
      <c r="C14" s="45"/>
      <c r="D14" s="74"/>
      <c r="E14" s="73"/>
      <c r="F14" s="73"/>
      <c r="G14" s="109"/>
      <c r="H14" s="108"/>
      <c r="I14" s="113"/>
      <c r="J14" s="113"/>
      <c r="K14" s="113"/>
      <c r="L14" s="414"/>
    </row>
    <row r="15" spans="2:12" x14ac:dyDescent="0.3">
      <c r="B15" s="15">
        <v>1100</v>
      </c>
      <c r="C15" s="48" t="s">
        <v>29</v>
      </c>
      <c r="D15" s="119">
        <v>0</v>
      </c>
      <c r="E15" s="69">
        <v>0</v>
      </c>
      <c r="F15" s="69"/>
      <c r="G15" s="346"/>
      <c r="H15" s="107">
        <v>0</v>
      </c>
      <c r="I15" s="114" t="str">
        <f t="shared" si="0"/>
        <v>n/a</v>
      </c>
      <c r="J15" s="114" t="str">
        <f t="shared" si="1"/>
        <v>n/a</v>
      </c>
      <c r="K15" s="114" t="str">
        <f>IFERROR(H15/G15,"n/a")</f>
        <v>n/a</v>
      </c>
      <c r="L15" s="415"/>
    </row>
    <row r="16" spans="2:12" x14ac:dyDescent="0.3">
      <c r="B16" s="9"/>
      <c r="C16" s="45"/>
      <c r="D16" s="16"/>
      <c r="E16" s="73"/>
      <c r="F16" s="73"/>
      <c r="G16" s="109"/>
      <c r="H16" s="108"/>
      <c r="I16" s="113"/>
      <c r="J16" s="113"/>
      <c r="K16" s="113"/>
      <c r="L16" s="414"/>
    </row>
    <row r="17" spans="2:12" x14ac:dyDescent="0.3">
      <c r="B17" s="14">
        <v>1200</v>
      </c>
      <c r="C17" s="46" t="s">
        <v>30</v>
      </c>
      <c r="D17" s="17">
        <v>2027</v>
      </c>
      <c r="E17" s="73">
        <v>4429</v>
      </c>
      <c r="F17" s="73">
        <v>2584</v>
      </c>
      <c r="G17" s="112">
        <v>4385</v>
      </c>
      <c r="H17" s="320">
        <v>4605</v>
      </c>
      <c r="I17" s="113">
        <f t="shared" si="0"/>
        <v>0.99006547753443219</v>
      </c>
      <c r="J17" s="113">
        <f t="shared" si="1"/>
        <v>1.0397380898622715</v>
      </c>
      <c r="K17" s="113">
        <f>IFERROR(H17/G17,"n/a")</f>
        <v>1.0501710376282782</v>
      </c>
      <c r="L17" s="408" t="s">
        <v>135</v>
      </c>
    </row>
    <row r="18" spans="2:12" x14ac:dyDescent="0.3">
      <c r="B18" s="14">
        <v>1201</v>
      </c>
      <c r="C18" s="46" t="s">
        <v>31</v>
      </c>
      <c r="D18" s="17">
        <v>2081</v>
      </c>
      <c r="E18" s="73">
        <v>4035</v>
      </c>
      <c r="F18" s="73">
        <v>0</v>
      </c>
      <c r="G18" s="112">
        <v>4038</v>
      </c>
      <c r="H18" s="320">
        <v>4239.8999999999996</v>
      </c>
      <c r="I18" s="113">
        <f t="shared" si="0"/>
        <v>1.0007434944237918</v>
      </c>
      <c r="J18" s="113">
        <f t="shared" si="1"/>
        <v>1.0507806691449812</v>
      </c>
      <c r="K18" s="113">
        <f>IFERROR(H18/G18,"n/a")</f>
        <v>1.0499999999999998</v>
      </c>
      <c r="L18" s="408" t="s">
        <v>136</v>
      </c>
    </row>
    <row r="19" spans="2:12" x14ac:dyDescent="0.3">
      <c r="B19" s="15">
        <v>1202</v>
      </c>
      <c r="C19" s="49" t="s">
        <v>32</v>
      </c>
      <c r="D19" s="30">
        <v>1906</v>
      </c>
      <c r="E19" s="73">
        <v>2172</v>
      </c>
      <c r="F19" s="73">
        <v>2225</v>
      </c>
      <c r="G19" s="346">
        <v>2225</v>
      </c>
      <c r="H19" s="107">
        <v>2280</v>
      </c>
      <c r="I19" s="116">
        <f t="shared" si="0"/>
        <v>1.024401473296501</v>
      </c>
      <c r="J19" s="116">
        <f t="shared" si="1"/>
        <v>1.0497237569060773</v>
      </c>
      <c r="K19" s="113">
        <f>IFERROR(H19/G19,"n/a")</f>
        <v>1.0247191011235954</v>
      </c>
      <c r="L19" s="416" t="s">
        <v>139</v>
      </c>
    </row>
    <row r="20" spans="2:12" x14ac:dyDescent="0.3">
      <c r="B20" s="65"/>
      <c r="C20" s="80" t="s">
        <v>33</v>
      </c>
      <c r="D20" s="81">
        <f>SUM(D17:D19)</f>
        <v>6014</v>
      </c>
      <c r="E20" s="81">
        <f>SUM(E17:E19)</f>
        <v>10636</v>
      </c>
      <c r="F20" s="81">
        <f>SUM(F17:F19)</f>
        <v>4809</v>
      </c>
      <c r="G20" s="347">
        <f>SUM(G17:G19)</f>
        <v>10648</v>
      </c>
      <c r="H20" s="321">
        <f>SUM(H17:H19)</f>
        <v>11124.9</v>
      </c>
      <c r="I20" s="117">
        <f t="shared" si="0"/>
        <v>1.0011282437006392</v>
      </c>
      <c r="J20" s="117">
        <f t="shared" si="1"/>
        <v>1.0459665287702142</v>
      </c>
      <c r="K20" s="117">
        <f>IFERROR(H20/G20,"n/a")</f>
        <v>1.0447877535687453</v>
      </c>
      <c r="L20" s="417"/>
    </row>
    <row r="21" spans="2:12" x14ac:dyDescent="0.3">
      <c r="B21" s="14"/>
      <c r="C21" s="46"/>
      <c r="D21" s="17"/>
      <c r="E21" s="73"/>
      <c r="F21" s="73"/>
      <c r="G21" s="109"/>
      <c r="H21" s="108"/>
      <c r="I21" s="113"/>
      <c r="J21" s="113"/>
      <c r="K21" s="113"/>
      <c r="L21" s="414"/>
    </row>
    <row r="22" spans="2:12" ht="27" x14ac:dyDescent="0.3">
      <c r="B22" s="14">
        <v>1300</v>
      </c>
      <c r="C22" s="46" t="s">
        <v>34</v>
      </c>
      <c r="D22" s="17">
        <v>1354</v>
      </c>
      <c r="E22" s="73">
        <v>1376</v>
      </c>
      <c r="F22" s="73">
        <v>923</v>
      </c>
      <c r="G22" s="112">
        <v>1328</v>
      </c>
      <c r="H22" s="320">
        <v>1445</v>
      </c>
      <c r="I22" s="115">
        <f t="shared" si="0"/>
        <v>0.96511627906976749</v>
      </c>
      <c r="J22" s="115">
        <f t="shared" si="1"/>
        <v>1.0501453488372092</v>
      </c>
      <c r="K22" s="115">
        <f>IFERROR(H22/G22,"n/a")</f>
        <v>1.0881024096385543</v>
      </c>
      <c r="L22" s="416" t="s">
        <v>140</v>
      </c>
    </row>
    <row r="23" spans="2:12" x14ac:dyDescent="0.3">
      <c r="B23" s="14">
        <v>1301</v>
      </c>
      <c r="C23" s="46" t="s">
        <v>35</v>
      </c>
      <c r="D23" s="17">
        <v>11</v>
      </c>
      <c r="E23" s="73">
        <v>11</v>
      </c>
      <c r="F23" s="73">
        <v>11</v>
      </c>
      <c r="G23" s="112">
        <v>11</v>
      </c>
      <c r="H23" s="320">
        <v>11</v>
      </c>
      <c r="I23" s="113">
        <f t="shared" si="0"/>
        <v>1</v>
      </c>
      <c r="J23" s="113">
        <f t="shared" si="1"/>
        <v>1</v>
      </c>
      <c r="K23" s="113">
        <f>IFERROR(H23/G23,"n/a")</f>
        <v>1</v>
      </c>
      <c r="L23" s="408" t="s">
        <v>137</v>
      </c>
    </row>
    <row r="24" spans="2:12" x14ac:dyDescent="0.3">
      <c r="B24" s="14">
        <v>1305</v>
      </c>
      <c r="C24" s="46" t="s">
        <v>36</v>
      </c>
      <c r="D24" s="17">
        <v>3219</v>
      </c>
      <c r="E24" s="73">
        <v>2996</v>
      </c>
      <c r="F24" s="73">
        <v>4123</v>
      </c>
      <c r="G24" s="112">
        <v>4953</v>
      </c>
      <c r="H24" s="320">
        <v>3146</v>
      </c>
      <c r="I24" s="113">
        <f t="shared" ref="I24" si="2">IFERROR(G24/E24,"n/a")</f>
        <v>1.6532042723631508</v>
      </c>
      <c r="J24" s="113">
        <f t="shared" ref="J24" si="3">IFERROR(H24/E24,"n/a")</f>
        <v>1.0500667556742322</v>
      </c>
      <c r="K24" s="113">
        <f>IFERROR(H24/G24,"n/a")</f>
        <v>0.6351706036745407</v>
      </c>
      <c r="L24" s="408" t="s">
        <v>138</v>
      </c>
    </row>
    <row r="25" spans="2:12" x14ac:dyDescent="0.3">
      <c r="B25" s="15">
        <v>1306</v>
      </c>
      <c r="C25" s="49" t="s">
        <v>77</v>
      </c>
      <c r="D25" s="30">
        <v>1727</v>
      </c>
      <c r="E25" s="73">
        <v>662</v>
      </c>
      <c r="F25" s="302">
        <v>0</v>
      </c>
      <c r="G25" s="346">
        <v>40</v>
      </c>
      <c r="H25" s="107">
        <v>1046.92</v>
      </c>
      <c r="I25" s="114">
        <f t="shared" si="0"/>
        <v>6.0422960725075532E-2</v>
      </c>
      <c r="J25" s="114">
        <f t="shared" si="1"/>
        <v>1.5814501510574019</v>
      </c>
      <c r="K25" s="114">
        <f>IFERROR(H25/G25,"n/a")</f>
        <v>26.173000000000002</v>
      </c>
      <c r="L25" s="411" t="s">
        <v>277</v>
      </c>
    </row>
    <row r="26" spans="2:12" x14ac:dyDescent="0.3">
      <c r="B26" s="66"/>
      <c r="C26" s="82" t="s">
        <v>37</v>
      </c>
      <c r="D26" s="34">
        <f>SUM(D22:D25)</f>
        <v>6311</v>
      </c>
      <c r="E26" s="81">
        <f>SUM(E22:E25)</f>
        <v>5045</v>
      </c>
      <c r="F26" s="34">
        <f>SUM(F22:F25)</f>
        <v>5057</v>
      </c>
      <c r="G26" s="346">
        <f>SUM(G22:G25)</f>
        <v>6332</v>
      </c>
      <c r="H26" s="321">
        <f>SUM(H22:H25)</f>
        <v>5648.92</v>
      </c>
      <c r="I26" s="114"/>
      <c r="J26" s="114">
        <f t="shared" si="1"/>
        <v>1.1197066402378593</v>
      </c>
      <c r="K26" s="114">
        <f>IFERROR(H26/G26,"n/a")</f>
        <v>0.89212255211623503</v>
      </c>
      <c r="L26" s="418"/>
    </row>
    <row r="27" spans="2:12" x14ac:dyDescent="0.3">
      <c r="B27" s="35"/>
      <c r="C27" s="44"/>
      <c r="D27" s="1"/>
      <c r="E27" s="73"/>
      <c r="F27" s="73"/>
      <c r="G27" s="109"/>
      <c r="H27" s="108"/>
      <c r="I27" s="113"/>
      <c r="J27" s="113"/>
      <c r="K27" s="113"/>
      <c r="L27" s="414"/>
    </row>
    <row r="28" spans="2:12" ht="21" customHeight="1" x14ac:dyDescent="0.3">
      <c r="B28" s="20"/>
      <c r="C28" s="51" t="s">
        <v>38</v>
      </c>
      <c r="D28" s="4">
        <f>D5+D7+D9+D11+D13+D15+D20+D26</f>
        <v>194106</v>
      </c>
      <c r="E28" s="4">
        <f>+E5+E7+E9+E11+E13+E15+E20+E26</f>
        <v>201653</v>
      </c>
      <c r="F28" s="4">
        <f>+F5+F7+F9+F11+F13+F15+F20+F26</f>
        <v>184083</v>
      </c>
      <c r="G28" s="348">
        <f>+G5+G7+G9+G11+G13+G15+G20+G26</f>
        <v>203608</v>
      </c>
      <c r="H28" s="322">
        <f>+H5+H7+H9+H11+H13+H15+H20+H26</f>
        <v>200623.82</v>
      </c>
      <c r="I28" s="118">
        <f t="shared" si="0"/>
        <v>1.0096948718838796</v>
      </c>
      <c r="J28" s="118">
        <f t="shared" si="1"/>
        <v>0.99489628222739068</v>
      </c>
      <c r="K28" s="118">
        <f>IFERROR(H28/G28,"n/a")</f>
        <v>0.98534350320223174</v>
      </c>
      <c r="L28" s="374"/>
    </row>
    <row r="29" spans="2:12" x14ac:dyDescent="0.3">
      <c r="B29" s="256"/>
      <c r="C29" s="125"/>
      <c r="D29" s="1"/>
      <c r="E29" s="288"/>
      <c r="F29" s="1"/>
      <c r="G29" s="1"/>
      <c r="H29" s="108"/>
      <c r="I29" s="113"/>
      <c r="J29" s="113"/>
      <c r="K29" s="113"/>
      <c r="L29" s="301"/>
    </row>
    <row r="30" spans="2:12" ht="27" x14ac:dyDescent="0.3">
      <c r="B30" s="272">
        <v>1106</v>
      </c>
      <c r="C30" s="125" t="s">
        <v>89</v>
      </c>
      <c r="D30" s="1">
        <v>173295</v>
      </c>
      <c r="E30" s="1">
        <v>87022</v>
      </c>
      <c r="F30" s="1">
        <v>27335</v>
      </c>
      <c r="G30" s="112">
        <f>CIL!D14</f>
        <v>52347.64</v>
      </c>
      <c r="H30" s="402">
        <f>CIL!D24</f>
        <v>88068.200000000012</v>
      </c>
      <c r="I30" s="113">
        <f t="shared" ref="I30" si="4">IFERROR(G30/E30,"n/a")</f>
        <v>0.60154489669279032</v>
      </c>
      <c r="J30" s="113">
        <f t="shared" ref="J30" si="5">IFERROR(H30/E30,"n/a")</f>
        <v>1.0120222472478224</v>
      </c>
      <c r="K30" s="113">
        <f>IFERROR(H30/G30,"n/a")</f>
        <v>1.6823719273686457</v>
      </c>
      <c r="L30" s="416" t="s">
        <v>278</v>
      </c>
    </row>
    <row r="31" spans="2:12" x14ac:dyDescent="0.3">
      <c r="B31" s="256">
        <v>363</v>
      </c>
      <c r="C31" s="125" t="s">
        <v>242</v>
      </c>
      <c r="D31" s="1"/>
      <c r="E31" s="1"/>
      <c r="F31" s="1">
        <v>24658</v>
      </c>
      <c r="G31" s="112">
        <v>24658</v>
      </c>
      <c r="H31" s="108">
        <v>0</v>
      </c>
      <c r="I31" s="113"/>
      <c r="J31" s="113"/>
      <c r="K31" s="113"/>
      <c r="L31" s="301"/>
    </row>
    <row r="32" spans="2:12" x14ac:dyDescent="0.3">
      <c r="B32" s="272">
        <v>1107</v>
      </c>
      <c r="C32" s="125" t="s">
        <v>90</v>
      </c>
      <c r="D32" s="1">
        <v>0</v>
      </c>
      <c r="E32" s="1">
        <v>0</v>
      </c>
      <c r="F32" s="1">
        <v>0</v>
      </c>
      <c r="G32" s="109">
        <v>0</v>
      </c>
      <c r="H32" s="108">
        <v>0</v>
      </c>
      <c r="I32" s="113" t="str">
        <f t="shared" ref="I32" si="6">IFERROR(G32/E32,"n/a")</f>
        <v>n/a</v>
      </c>
      <c r="J32" s="113" t="str">
        <f t="shared" ref="J32" si="7">IFERROR(H32/E32,"n/a")</f>
        <v>n/a</v>
      </c>
      <c r="K32" s="113" t="str">
        <f>IFERROR(H32/G32,"n/a")</f>
        <v>n/a</v>
      </c>
      <c r="L32" s="301"/>
    </row>
    <row r="33" spans="2:12" x14ac:dyDescent="0.3">
      <c r="B33" s="256"/>
      <c r="C33" s="125"/>
      <c r="D33" s="1"/>
      <c r="E33" s="1"/>
      <c r="F33" s="1"/>
      <c r="G33" s="109"/>
      <c r="H33" s="108"/>
      <c r="I33" s="113"/>
      <c r="J33" s="113"/>
      <c r="K33" s="113"/>
      <c r="L33" s="301"/>
    </row>
    <row r="34" spans="2:12" ht="25.2" customHeight="1" x14ac:dyDescent="0.3">
      <c r="B34" s="257"/>
      <c r="C34" s="258" t="s">
        <v>86</v>
      </c>
      <c r="D34" s="60">
        <f>SUM(D29:D33)</f>
        <v>173295</v>
      </c>
      <c r="E34" s="259">
        <f>SUM(E29:E33)</f>
        <v>87022</v>
      </c>
      <c r="F34" s="259">
        <f>SUM(F29:F33)</f>
        <v>51993</v>
      </c>
      <c r="G34" s="352">
        <f>SUM(G29:G33)</f>
        <v>77005.64</v>
      </c>
      <c r="H34" s="325">
        <f>SUM(H29:H33)</f>
        <v>88068.200000000012</v>
      </c>
      <c r="I34" s="261">
        <f t="shared" si="0"/>
        <v>0.8848985314058514</v>
      </c>
      <c r="J34" s="261">
        <f t="shared" si="1"/>
        <v>1.0120222472478224</v>
      </c>
      <c r="K34" s="261">
        <f>IFERROR(H34/G34,"n/a")</f>
        <v>1.1436590878278527</v>
      </c>
      <c r="L34" s="375"/>
    </row>
    <row r="35" spans="2:12" x14ac:dyDescent="0.3">
      <c r="B35" s="256"/>
      <c r="C35" s="125"/>
      <c r="D35" s="1"/>
      <c r="E35" s="1"/>
      <c r="F35" s="1"/>
      <c r="G35" s="109"/>
      <c r="H35" s="108"/>
      <c r="I35" s="113"/>
      <c r="J35" s="113"/>
      <c r="K35" s="113"/>
      <c r="L35" s="301"/>
    </row>
    <row r="36" spans="2:12" ht="25.2" customHeight="1" thickBot="1" x14ac:dyDescent="0.35">
      <c r="B36" s="262"/>
      <c r="C36" s="52" t="s">
        <v>39</v>
      </c>
      <c r="D36" s="18">
        <f>+D28+D34</f>
        <v>367401</v>
      </c>
      <c r="E36" s="18">
        <f>+E28+E34</f>
        <v>288675</v>
      </c>
      <c r="F36" s="18">
        <f>+F28+F34</f>
        <v>236076</v>
      </c>
      <c r="G36" s="355">
        <f>+G28+G34</f>
        <v>280613.64</v>
      </c>
      <c r="H36" s="326">
        <f>+H28+H34</f>
        <v>288692.02</v>
      </c>
      <c r="I36" s="24">
        <f t="shared" si="0"/>
        <v>0.9720746167835802</v>
      </c>
      <c r="J36" s="24">
        <f t="shared" si="1"/>
        <v>1.0000589590369793</v>
      </c>
      <c r="K36" s="24">
        <f>IFERROR(H36/G36,"n/a")</f>
        <v>1.0287882656024847</v>
      </c>
      <c r="L36" s="376"/>
    </row>
    <row r="38" spans="2:12" x14ac:dyDescent="0.3">
      <c r="C38" t="s">
        <v>241</v>
      </c>
    </row>
    <row r="40" spans="2:12" ht="16.2" thickBot="1" x14ac:dyDescent="0.35"/>
    <row r="41" spans="2:12" ht="16.2" thickBot="1" x14ac:dyDescent="0.35">
      <c r="G41" s="75" t="s">
        <v>40</v>
      </c>
      <c r="H41" s="76">
        <f>SUM(H5:H35)-H17-H18-H19-H22-H23-H24-H25-H28-H36</f>
        <v>88068.200000000012</v>
      </c>
    </row>
  </sheetData>
  <phoneticPr fontId="13" type="noConversion"/>
  <pageMargins left="0.75000000000000011" right="0.75000000000000011" top="1" bottom="1" header="0.5" footer="0.5"/>
  <pageSetup paperSize="9" scale="5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43"/>
  <sheetViews>
    <sheetView workbookViewId="0">
      <selection activeCell="H22" sqref="H22"/>
    </sheetView>
  </sheetViews>
  <sheetFormatPr defaultColWidth="11.19921875" defaultRowHeight="15.6" x14ac:dyDescent="0.3"/>
  <cols>
    <col min="1" max="1" width="4.19921875" customWidth="1"/>
    <col min="2" max="2" width="10.69921875" customWidth="1"/>
    <col min="3" max="3" width="35" customWidth="1"/>
    <col min="4" max="9" width="13.5" customWidth="1"/>
    <col min="10" max="11" width="13.5" style="62" customWidth="1"/>
    <col min="12" max="12" width="61.5" customWidth="1"/>
  </cols>
  <sheetData>
    <row r="2" spans="2:12" ht="21" x14ac:dyDescent="0.3">
      <c r="B2" s="495" t="s">
        <v>193</v>
      </c>
      <c r="C2" s="496"/>
      <c r="D2" s="496"/>
      <c r="E2" s="497"/>
      <c r="F2" s="497"/>
      <c r="G2" s="498"/>
      <c r="H2" s="498"/>
      <c r="I2" s="499"/>
      <c r="J2" s="499"/>
      <c r="K2" s="499"/>
      <c r="L2" s="500"/>
    </row>
    <row r="3" spans="2:12" ht="21" x14ac:dyDescent="0.3">
      <c r="B3" s="501" t="s">
        <v>119</v>
      </c>
      <c r="C3" s="484"/>
      <c r="D3" s="484"/>
      <c r="E3" s="486"/>
      <c r="F3" s="486"/>
      <c r="G3" s="487"/>
      <c r="H3" s="487"/>
      <c r="I3" s="488"/>
      <c r="J3" s="488"/>
      <c r="K3" s="488"/>
      <c r="L3" s="502"/>
    </row>
    <row r="4" spans="2:12" ht="63" thickBot="1" x14ac:dyDescent="0.35">
      <c r="B4" s="503" t="s">
        <v>23</v>
      </c>
      <c r="C4" s="491" t="s">
        <v>24</v>
      </c>
      <c r="D4" s="473" t="s">
        <v>186</v>
      </c>
      <c r="E4" s="473" t="s">
        <v>131</v>
      </c>
      <c r="F4" s="473" t="s">
        <v>227</v>
      </c>
      <c r="G4" s="475" t="s">
        <v>187</v>
      </c>
      <c r="H4" s="475" t="s">
        <v>188</v>
      </c>
      <c r="I4" s="474" t="s">
        <v>189</v>
      </c>
      <c r="J4" s="473" t="s">
        <v>190</v>
      </c>
      <c r="K4" s="473" t="s">
        <v>191</v>
      </c>
      <c r="L4" s="504" t="s">
        <v>192</v>
      </c>
    </row>
    <row r="5" spans="2:12" x14ac:dyDescent="0.3">
      <c r="B5" s="452"/>
      <c r="C5" s="53"/>
      <c r="D5" s="27"/>
      <c r="E5" s="28"/>
      <c r="F5" s="28"/>
      <c r="G5" s="28"/>
      <c r="H5" s="29"/>
      <c r="I5" s="29"/>
      <c r="J5" s="29"/>
      <c r="K5" s="29"/>
      <c r="L5" s="453"/>
    </row>
    <row r="6" spans="2:12" ht="66.599999999999994" x14ac:dyDescent="0.3">
      <c r="B6" s="454">
        <v>4000</v>
      </c>
      <c r="C6" s="45" t="s">
        <v>41</v>
      </c>
      <c r="D6" s="16">
        <v>78235</v>
      </c>
      <c r="E6" s="1">
        <v>81738</v>
      </c>
      <c r="F6" s="1">
        <v>38852</v>
      </c>
      <c r="G6" s="349">
        <v>77704</v>
      </c>
      <c r="H6" s="94">
        <v>86818</v>
      </c>
      <c r="I6" s="87">
        <f t="shared" ref="I6:I21" si="0">IFERROR(G6/E6,"n/a")</f>
        <v>0.95064718980156104</v>
      </c>
      <c r="J6" s="87">
        <f t="shared" ref="J6:J21" si="1">IFERROR(H6/E6,"n/a")</f>
        <v>1.0621497956886639</v>
      </c>
      <c r="K6" s="87">
        <f t="shared" ref="K6:K21" si="2">IFERROR(H6/G6,"n/a")</f>
        <v>1.1172912591372388</v>
      </c>
      <c r="L6" s="455" t="s">
        <v>270</v>
      </c>
    </row>
    <row r="7" spans="2:12" x14ac:dyDescent="0.3">
      <c r="B7" s="454">
        <v>4004</v>
      </c>
      <c r="C7" s="45" t="s">
        <v>78</v>
      </c>
      <c r="D7" s="16">
        <v>264</v>
      </c>
      <c r="E7" s="1">
        <v>264</v>
      </c>
      <c r="F7" s="1">
        <v>110</v>
      </c>
      <c r="G7" s="349">
        <v>264</v>
      </c>
      <c r="H7" s="94">
        <v>264</v>
      </c>
      <c r="I7" s="87">
        <f t="shared" si="0"/>
        <v>1</v>
      </c>
      <c r="J7" s="87">
        <f t="shared" si="1"/>
        <v>1</v>
      </c>
      <c r="K7" s="87">
        <f t="shared" si="2"/>
        <v>1</v>
      </c>
      <c r="L7" s="455" t="s">
        <v>159</v>
      </c>
    </row>
    <row r="8" spans="2:12" ht="16.2" customHeight="1" x14ac:dyDescent="0.3">
      <c r="B8" s="454">
        <v>4010</v>
      </c>
      <c r="C8" s="45" t="s">
        <v>42</v>
      </c>
      <c r="D8" s="16">
        <v>2828</v>
      </c>
      <c r="E8" s="73">
        <v>2500</v>
      </c>
      <c r="F8" s="73">
        <v>1200</v>
      </c>
      <c r="G8" s="349">
        <v>1600</v>
      </c>
      <c r="H8" s="94">
        <v>1500</v>
      </c>
      <c r="I8" s="87">
        <f t="shared" si="0"/>
        <v>0.64</v>
      </c>
      <c r="J8" s="87">
        <f t="shared" si="1"/>
        <v>0.6</v>
      </c>
      <c r="K8" s="87">
        <f t="shared" si="2"/>
        <v>0.9375</v>
      </c>
      <c r="L8" s="455" t="s">
        <v>279</v>
      </c>
    </row>
    <row r="9" spans="2:12" x14ac:dyDescent="0.3">
      <c r="B9" s="454">
        <v>4020</v>
      </c>
      <c r="C9" s="45" t="s">
        <v>43</v>
      </c>
      <c r="D9" s="16">
        <v>432</v>
      </c>
      <c r="E9" s="73">
        <v>500</v>
      </c>
      <c r="F9" s="73">
        <v>0</v>
      </c>
      <c r="G9" s="349">
        <v>500</v>
      </c>
      <c r="H9" s="94">
        <v>500</v>
      </c>
      <c r="I9" s="87">
        <f t="shared" si="0"/>
        <v>1</v>
      </c>
      <c r="J9" s="87">
        <f t="shared" si="1"/>
        <v>1</v>
      </c>
      <c r="K9" s="87">
        <f t="shared" si="2"/>
        <v>1</v>
      </c>
      <c r="L9" s="456" t="s">
        <v>195</v>
      </c>
    </row>
    <row r="10" spans="2:12" s="132" customFormat="1" x14ac:dyDescent="0.3">
      <c r="B10" s="457">
        <v>4030</v>
      </c>
      <c r="C10" s="126" t="s">
        <v>44</v>
      </c>
      <c r="D10" s="127">
        <v>80</v>
      </c>
      <c r="E10" s="73">
        <v>0</v>
      </c>
      <c r="F10" s="73">
        <v>0</v>
      </c>
      <c r="G10" s="349">
        <v>0</v>
      </c>
      <c r="H10" s="94">
        <v>0</v>
      </c>
      <c r="I10" s="130" t="str">
        <f t="shared" si="0"/>
        <v>n/a</v>
      </c>
      <c r="J10" s="130" t="str">
        <f t="shared" si="1"/>
        <v>n/a</v>
      </c>
      <c r="K10" s="130" t="str">
        <f t="shared" si="2"/>
        <v>n/a</v>
      </c>
      <c r="L10" s="492" t="s">
        <v>142</v>
      </c>
    </row>
    <row r="11" spans="2:12" x14ac:dyDescent="0.3">
      <c r="B11" s="454">
        <v>4050</v>
      </c>
      <c r="C11" s="45" t="s">
        <v>45</v>
      </c>
      <c r="D11" s="16">
        <v>1150</v>
      </c>
      <c r="E11" s="73">
        <v>1150</v>
      </c>
      <c r="F11" s="73">
        <v>190</v>
      </c>
      <c r="G11" s="349">
        <v>1130</v>
      </c>
      <c r="H11" s="94">
        <v>1250</v>
      </c>
      <c r="I11" s="87">
        <f t="shared" si="0"/>
        <v>0.9826086956521739</v>
      </c>
      <c r="J11" s="87">
        <f t="shared" si="1"/>
        <v>1.0869565217391304</v>
      </c>
      <c r="K11" s="87">
        <f t="shared" si="2"/>
        <v>1.1061946902654867</v>
      </c>
      <c r="L11" s="455" t="s">
        <v>280</v>
      </c>
    </row>
    <row r="12" spans="2:12" ht="27" x14ac:dyDescent="0.3">
      <c r="B12" s="454">
        <v>4051</v>
      </c>
      <c r="C12" s="45" t="s">
        <v>46</v>
      </c>
      <c r="D12" s="16">
        <v>5239</v>
      </c>
      <c r="E12" s="73">
        <v>5686</v>
      </c>
      <c r="F12" s="73">
        <v>1606</v>
      </c>
      <c r="G12" s="349">
        <v>5000</v>
      </c>
      <c r="H12" s="94">
        <v>5200</v>
      </c>
      <c r="I12" s="87">
        <f t="shared" si="0"/>
        <v>0.87935279634189234</v>
      </c>
      <c r="J12" s="87">
        <f t="shared" si="1"/>
        <v>0.91452690819556803</v>
      </c>
      <c r="K12" s="87">
        <f t="shared" si="2"/>
        <v>1.04</v>
      </c>
      <c r="L12" s="455" t="s">
        <v>228</v>
      </c>
    </row>
    <row r="13" spans="2:12" x14ac:dyDescent="0.3">
      <c r="B13" s="454">
        <v>4052</v>
      </c>
      <c r="C13" s="45" t="s">
        <v>47</v>
      </c>
      <c r="D13" s="16">
        <v>1398</v>
      </c>
      <c r="E13" s="73">
        <v>1468</v>
      </c>
      <c r="F13" s="73">
        <v>1669</v>
      </c>
      <c r="G13" s="349">
        <v>1669</v>
      </c>
      <c r="H13" s="94">
        <v>1752.45</v>
      </c>
      <c r="I13" s="87">
        <f t="shared" si="0"/>
        <v>1.1369209809264305</v>
      </c>
      <c r="J13" s="87">
        <f t="shared" si="1"/>
        <v>1.1937670299727521</v>
      </c>
      <c r="K13" s="87">
        <f t="shared" si="2"/>
        <v>1.05</v>
      </c>
      <c r="L13" s="455" t="s">
        <v>194</v>
      </c>
    </row>
    <row r="14" spans="2:12" ht="27" x14ac:dyDescent="0.3">
      <c r="B14" s="454">
        <v>4053</v>
      </c>
      <c r="C14" s="45" t="s">
        <v>48</v>
      </c>
      <c r="D14" s="16">
        <v>2278</v>
      </c>
      <c r="E14" s="73">
        <v>1817</v>
      </c>
      <c r="F14" s="73">
        <v>1455</v>
      </c>
      <c r="G14" s="349">
        <v>2064</v>
      </c>
      <c r="H14" s="94">
        <v>2167</v>
      </c>
      <c r="I14" s="87">
        <f t="shared" si="0"/>
        <v>1.135938359933957</v>
      </c>
      <c r="J14" s="87">
        <f t="shared" si="1"/>
        <v>1.1926252063841496</v>
      </c>
      <c r="K14" s="87">
        <f t="shared" si="2"/>
        <v>1.0499031007751938</v>
      </c>
      <c r="L14" s="455" t="s">
        <v>196</v>
      </c>
    </row>
    <row r="15" spans="2:12" ht="27" x14ac:dyDescent="0.3">
      <c r="B15" s="454">
        <v>4054</v>
      </c>
      <c r="C15" s="45" t="s">
        <v>49</v>
      </c>
      <c r="D15" s="16">
        <v>1326</v>
      </c>
      <c r="E15" s="73">
        <v>1736</v>
      </c>
      <c r="F15" s="73">
        <v>732</v>
      </c>
      <c r="G15" s="349">
        <v>1636</v>
      </c>
      <c r="H15" s="94">
        <v>1823</v>
      </c>
      <c r="I15" s="87">
        <f t="shared" si="0"/>
        <v>0.94239631336405527</v>
      </c>
      <c r="J15" s="87">
        <f t="shared" si="1"/>
        <v>1.0501152073732718</v>
      </c>
      <c r="K15" s="87">
        <f t="shared" si="2"/>
        <v>1.1143031784841075</v>
      </c>
      <c r="L15" s="455" t="s">
        <v>197</v>
      </c>
    </row>
    <row r="16" spans="2:12" ht="40.200000000000003" x14ac:dyDescent="0.3">
      <c r="B16" s="454">
        <v>4055</v>
      </c>
      <c r="C16" s="45" t="s">
        <v>50</v>
      </c>
      <c r="D16" s="16">
        <v>5066</v>
      </c>
      <c r="E16" s="73">
        <v>5070</v>
      </c>
      <c r="F16" s="73">
        <v>2625</v>
      </c>
      <c r="G16" s="349">
        <v>5056</v>
      </c>
      <c r="H16" s="94">
        <v>5350</v>
      </c>
      <c r="I16" s="87">
        <f t="shared" si="0"/>
        <v>0.99723865877712037</v>
      </c>
      <c r="J16" s="87">
        <f t="shared" si="1"/>
        <v>1.0552268244575937</v>
      </c>
      <c r="K16" s="87">
        <f t="shared" si="2"/>
        <v>1.0581487341772151</v>
      </c>
      <c r="L16" s="455" t="s">
        <v>282</v>
      </c>
    </row>
    <row r="17" spans="2:12" ht="27" x14ac:dyDescent="0.3">
      <c r="B17" s="454">
        <v>4057</v>
      </c>
      <c r="C17" s="45" t="s">
        <v>51</v>
      </c>
      <c r="D17" s="16">
        <v>179</v>
      </c>
      <c r="E17" s="73">
        <v>252</v>
      </c>
      <c r="F17" s="73">
        <v>87</v>
      </c>
      <c r="G17" s="349">
        <v>180</v>
      </c>
      <c r="H17" s="94">
        <v>252</v>
      </c>
      <c r="I17" s="87">
        <f t="shared" si="0"/>
        <v>0.7142857142857143</v>
      </c>
      <c r="J17" s="87">
        <f t="shared" si="1"/>
        <v>1</v>
      </c>
      <c r="K17" s="87">
        <f t="shared" si="2"/>
        <v>1.4</v>
      </c>
      <c r="L17" s="455" t="s">
        <v>141</v>
      </c>
    </row>
    <row r="18" spans="2:12" x14ac:dyDescent="0.3">
      <c r="B18" s="454">
        <v>4058</v>
      </c>
      <c r="C18" s="45" t="s">
        <v>52</v>
      </c>
      <c r="D18" s="16">
        <v>25</v>
      </c>
      <c r="E18" s="73">
        <v>135</v>
      </c>
      <c r="F18" s="73">
        <v>0</v>
      </c>
      <c r="G18" s="349">
        <v>135</v>
      </c>
      <c r="H18" s="94">
        <v>135</v>
      </c>
      <c r="I18" s="87">
        <f t="shared" si="0"/>
        <v>1</v>
      </c>
      <c r="J18" s="87">
        <f t="shared" si="1"/>
        <v>1</v>
      </c>
      <c r="K18" s="87">
        <f t="shared" si="2"/>
        <v>1</v>
      </c>
      <c r="L18" s="455" t="s">
        <v>105</v>
      </c>
    </row>
    <row r="19" spans="2:12" s="164" customFormat="1" ht="21" customHeight="1" x14ac:dyDescent="0.3">
      <c r="B19" s="457">
        <v>4730</v>
      </c>
      <c r="C19" s="126" t="s">
        <v>200</v>
      </c>
      <c r="D19" s="127">
        <v>1885</v>
      </c>
      <c r="E19" s="128">
        <v>0</v>
      </c>
      <c r="F19" s="128">
        <v>0</v>
      </c>
      <c r="G19" s="129">
        <v>0</v>
      </c>
      <c r="H19" s="129">
        <v>0</v>
      </c>
      <c r="I19" s="130" t="str">
        <f t="shared" si="0"/>
        <v>n/a</v>
      </c>
      <c r="J19" s="130" t="str">
        <f t="shared" si="1"/>
        <v>n/a</v>
      </c>
      <c r="K19" s="130" t="str">
        <f t="shared" si="2"/>
        <v>n/a</v>
      </c>
      <c r="L19" s="493"/>
    </row>
    <row r="20" spans="2:12" ht="39" customHeight="1" x14ac:dyDescent="0.3">
      <c r="B20" s="454">
        <v>4060</v>
      </c>
      <c r="C20" s="45" t="s">
        <v>53</v>
      </c>
      <c r="D20" s="16">
        <v>1113</v>
      </c>
      <c r="E20" s="73">
        <v>1244</v>
      </c>
      <c r="F20" s="73">
        <v>292</v>
      </c>
      <c r="G20" s="349">
        <v>1153</v>
      </c>
      <c r="H20" s="94">
        <v>1306</v>
      </c>
      <c r="I20" s="87">
        <f t="shared" si="0"/>
        <v>0.92684887459807075</v>
      </c>
      <c r="J20" s="87">
        <f t="shared" si="1"/>
        <v>1.04983922829582</v>
      </c>
      <c r="K20" s="87">
        <f t="shared" si="2"/>
        <v>1.1326973113616652</v>
      </c>
      <c r="L20" s="455" t="s">
        <v>160</v>
      </c>
    </row>
    <row r="21" spans="2:12" x14ac:dyDescent="0.3">
      <c r="B21" s="454">
        <v>4062</v>
      </c>
      <c r="C21" s="45" t="s">
        <v>118</v>
      </c>
      <c r="D21" s="16">
        <v>904</v>
      </c>
      <c r="E21" s="73">
        <v>0</v>
      </c>
      <c r="F21" s="73">
        <v>2304</v>
      </c>
      <c r="G21" s="349">
        <v>2304</v>
      </c>
      <c r="H21" s="94">
        <v>0</v>
      </c>
      <c r="I21" s="87" t="str">
        <f t="shared" si="0"/>
        <v>n/a</v>
      </c>
      <c r="J21" s="87" t="str">
        <f t="shared" si="1"/>
        <v>n/a</v>
      </c>
      <c r="K21" s="87">
        <f t="shared" si="2"/>
        <v>0</v>
      </c>
      <c r="L21" s="551"/>
    </row>
    <row r="22" spans="2:12" x14ac:dyDescent="0.3">
      <c r="B22" s="454">
        <v>4040</v>
      </c>
      <c r="C22" s="45" t="s">
        <v>169</v>
      </c>
      <c r="D22" s="16">
        <v>0</v>
      </c>
      <c r="E22" s="73">
        <v>15000</v>
      </c>
      <c r="F22" s="73">
        <v>0</v>
      </c>
      <c r="G22" s="349">
        <v>0</v>
      </c>
      <c r="H22" s="94">
        <v>15000</v>
      </c>
      <c r="I22" s="87">
        <f>IFERROR(G22/E22,"n/a")</f>
        <v>0</v>
      </c>
      <c r="J22" s="87">
        <f>IFERROR(H22/E22,"n/a")</f>
        <v>1</v>
      </c>
      <c r="K22" s="87" t="str">
        <f>IFERROR(H22/G22,"n/a")</f>
        <v>n/a</v>
      </c>
      <c r="L22" s="416" t="s">
        <v>281</v>
      </c>
    </row>
    <row r="23" spans="2:12" x14ac:dyDescent="0.3">
      <c r="B23" s="454"/>
      <c r="C23" s="45"/>
      <c r="D23" s="16"/>
      <c r="E23" s="73"/>
      <c r="F23" s="73"/>
      <c r="G23" s="109"/>
      <c r="H23" s="108"/>
      <c r="I23" s="87"/>
      <c r="J23" s="87"/>
      <c r="K23" s="87"/>
      <c r="L23" s="494"/>
    </row>
    <row r="24" spans="2:12" ht="24" customHeight="1" x14ac:dyDescent="0.3">
      <c r="B24" s="459"/>
      <c r="C24" s="50" t="s">
        <v>3</v>
      </c>
      <c r="D24" s="4">
        <f>SUM(D6:D23)</f>
        <v>102402</v>
      </c>
      <c r="E24" s="4">
        <f>SUM(E6:E23)</f>
        <v>118560</v>
      </c>
      <c r="F24" s="4">
        <f>SUM(F6:F23)</f>
        <v>51122</v>
      </c>
      <c r="G24" s="352">
        <f>SUM(G6:G23)</f>
        <v>100395</v>
      </c>
      <c r="H24" s="322">
        <f>SUM(H6:H23)</f>
        <v>123317.45</v>
      </c>
      <c r="I24" s="88">
        <f>IFERROR(G24/E24,"n/a")</f>
        <v>0.84678643724696356</v>
      </c>
      <c r="J24" s="88">
        <f>IFERROR(H24/E24,"n/a")</f>
        <v>1.0401269399460189</v>
      </c>
      <c r="K24" s="88">
        <f>IFERROR(H24/G24,"n/a")</f>
        <v>1.2283226256287663</v>
      </c>
      <c r="L24" s="460"/>
    </row>
    <row r="25" spans="2:12" x14ac:dyDescent="0.3">
      <c r="B25" s="454"/>
      <c r="C25" s="45"/>
      <c r="D25" s="16"/>
      <c r="E25" s="73"/>
      <c r="F25" s="73"/>
      <c r="G25" s="109"/>
      <c r="H25" s="108"/>
      <c r="I25" s="73"/>
      <c r="J25" s="87"/>
      <c r="K25" s="87"/>
      <c r="L25" s="461"/>
    </row>
    <row r="26" spans="2:12" x14ac:dyDescent="0.3">
      <c r="B26" s="454">
        <v>4400</v>
      </c>
      <c r="C26" s="45" t="s">
        <v>55</v>
      </c>
      <c r="D26" s="16">
        <v>15076</v>
      </c>
      <c r="E26" s="73">
        <v>15489</v>
      </c>
      <c r="F26" s="73">
        <v>15530</v>
      </c>
      <c r="G26" s="349">
        <v>15530</v>
      </c>
      <c r="H26" s="94">
        <v>0</v>
      </c>
      <c r="I26" s="87">
        <f>IFERROR(G26/E26,"n/a")</f>
        <v>1.0026470398347214</v>
      </c>
      <c r="J26" s="87">
        <f>IFERROR(H26/E26,"n/a")</f>
        <v>0</v>
      </c>
      <c r="K26" s="87">
        <f>IFERROR(H26/G26,"n/a")</f>
        <v>0</v>
      </c>
      <c r="L26" s="455" t="s">
        <v>229</v>
      </c>
    </row>
    <row r="27" spans="2:12" x14ac:dyDescent="0.3">
      <c r="B27" s="462">
        <v>4448</v>
      </c>
      <c r="C27" s="45" t="s">
        <v>56</v>
      </c>
      <c r="D27" s="16">
        <v>4047</v>
      </c>
      <c r="E27" s="73">
        <v>3000</v>
      </c>
      <c r="F27" s="73">
        <v>1500</v>
      </c>
      <c r="G27" s="349">
        <v>1500</v>
      </c>
      <c r="H27" s="94">
        <v>1500</v>
      </c>
      <c r="I27" s="87">
        <f>IFERROR(G27/E27,"n/a")</f>
        <v>0.5</v>
      </c>
      <c r="J27" s="87">
        <f>IFERROR(H27/E27,"n/a")</f>
        <v>0.5</v>
      </c>
      <c r="K27" s="87">
        <f>IFERROR(H27/G27,"n/a")</f>
        <v>1</v>
      </c>
      <c r="L27" s="455" t="s">
        <v>244</v>
      </c>
    </row>
    <row r="28" spans="2:12" x14ac:dyDescent="0.3">
      <c r="B28" s="454"/>
      <c r="C28" s="45"/>
      <c r="D28" s="16"/>
      <c r="E28" s="73"/>
      <c r="F28" s="73"/>
      <c r="G28" s="109"/>
      <c r="H28" s="108"/>
      <c r="I28" s="87"/>
      <c r="J28" s="87"/>
      <c r="K28" s="87"/>
      <c r="L28" s="458"/>
    </row>
    <row r="29" spans="2:12" ht="22.2" customHeight="1" x14ac:dyDescent="0.3">
      <c r="B29" s="463"/>
      <c r="C29" s="59" t="s">
        <v>4</v>
      </c>
      <c r="D29" s="60">
        <f>SUM(D26:D28)</f>
        <v>19123</v>
      </c>
      <c r="E29" s="60">
        <f>SUM(E26:E28)</f>
        <v>18489</v>
      </c>
      <c r="F29" s="60">
        <f>SUM(F26:F28)</f>
        <v>17030</v>
      </c>
      <c r="G29" s="353">
        <f>SUM(G26:G28)</f>
        <v>17030</v>
      </c>
      <c r="H29" s="120">
        <f>SUM(H26:H28)</f>
        <v>1500</v>
      </c>
      <c r="I29" s="89">
        <f>IFERROR(G29/E29,"n/a")</f>
        <v>0.92108821461409485</v>
      </c>
      <c r="J29" s="89">
        <f>IFERROR(H29/E29,"n/a")</f>
        <v>8.1129320136297256E-2</v>
      </c>
      <c r="K29" s="89">
        <f>IFERROR(H29/G29,"n/a")</f>
        <v>8.8079859072225486E-2</v>
      </c>
      <c r="L29" s="464"/>
    </row>
    <row r="30" spans="2:12" x14ac:dyDescent="0.3">
      <c r="B30" s="465"/>
      <c r="C30" s="264"/>
      <c r="D30" s="16"/>
      <c r="E30" s="73"/>
      <c r="F30" s="73"/>
      <c r="G30" s="349"/>
      <c r="H30" s="108"/>
      <c r="I30" s="87"/>
      <c r="J30" s="87"/>
      <c r="K30" s="87"/>
      <c r="L30" s="461"/>
    </row>
    <row r="31" spans="2:12" ht="27" x14ac:dyDescent="0.3">
      <c r="B31" s="465">
        <v>4030</v>
      </c>
      <c r="C31" s="45" t="s">
        <v>79</v>
      </c>
      <c r="D31" s="16"/>
      <c r="E31" s="73">
        <v>0</v>
      </c>
      <c r="F31" s="73">
        <v>0</v>
      </c>
      <c r="G31" s="349">
        <v>0</v>
      </c>
      <c r="H31" s="94">
        <v>0</v>
      </c>
      <c r="I31" s="87" t="str">
        <f>IFERROR(G31/E31,"n/a")</f>
        <v>n/a</v>
      </c>
      <c r="J31" s="87" t="str">
        <f>IFERROR(H31/E31,"n/a")</f>
        <v>n/a</v>
      </c>
      <c r="K31" s="87" t="str">
        <f>IFERROR(H31/G31,"n/a")</f>
        <v>n/a</v>
      </c>
      <c r="L31" s="455" t="s">
        <v>161</v>
      </c>
    </row>
    <row r="32" spans="2:12" x14ac:dyDescent="0.3">
      <c r="B32" s="465"/>
      <c r="C32" s="45"/>
      <c r="D32" s="16"/>
      <c r="E32" s="73"/>
      <c r="F32" s="73"/>
      <c r="G32" s="349">
        <v>0</v>
      </c>
      <c r="H32" s="94">
        <v>0</v>
      </c>
      <c r="I32" s="87"/>
      <c r="J32" s="87"/>
      <c r="K32" s="87"/>
      <c r="L32" s="461"/>
    </row>
    <row r="33" spans="2:12" s="164" customFormat="1" x14ac:dyDescent="0.3">
      <c r="B33" s="465">
        <v>319</v>
      </c>
      <c r="C33" s="45" t="s">
        <v>134</v>
      </c>
      <c r="D33" s="16">
        <v>0</v>
      </c>
      <c r="E33" s="265">
        <v>0</v>
      </c>
      <c r="F33" s="265">
        <v>0</v>
      </c>
      <c r="G33" s="349">
        <v>0</v>
      </c>
      <c r="H33" s="305">
        <v>0</v>
      </c>
      <c r="I33" s="87" t="str">
        <f>IFERROR(G33/E33,"n/a")</f>
        <v>n/a</v>
      </c>
      <c r="J33" s="87" t="str">
        <f>IFERROR(H33/E33,"n/a")</f>
        <v>n/a</v>
      </c>
      <c r="K33" s="87" t="str">
        <f>IFERROR(H33/G33,"n/a")</f>
        <v>n/a</v>
      </c>
      <c r="L33" s="455" t="s">
        <v>230</v>
      </c>
    </row>
    <row r="34" spans="2:12" s="164" customFormat="1" x14ac:dyDescent="0.3">
      <c r="B34" s="465"/>
      <c r="C34" s="45"/>
      <c r="D34" s="16"/>
      <c r="E34" s="265"/>
      <c r="F34" s="265"/>
      <c r="G34" s="349"/>
      <c r="H34" s="300"/>
      <c r="I34" s="87"/>
      <c r="J34" s="87"/>
      <c r="K34" s="87"/>
      <c r="L34" s="466"/>
    </row>
    <row r="35" spans="2:12" x14ac:dyDescent="0.3">
      <c r="B35" s="467"/>
      <c r="C35" s="267" t="s">
        <v>81</v>
      </c>
      <c r="D35" s="268">
        <f>SUM(D31:D34)</f>
        <v>0</v>
      </c>
      <c r="E35" s="260">
        <f>SUM(E31:E34)</f>
        <v>0</v>
      </c>
      <c r="F35" s="260">
        <f>SUM(F31:F34)</f>
        <v>0</v>
      </c>
      <c r="G35" s="350">
        <f>SUM(G31:G34)</f>
        <v>0</v>
      </c>
      <c r="H35" s="325">
        <f>SUM(H31:H34)</f>
        <v>0</v>
      </c>
      <c r="I35" s="269" t="str">
        <f>IFERROR(G35/E35,"n/a")</f>
        <v>n/a</v>
      </c>
      <c r="J35" s="269" t="str">
        <f>IFERROR(H35/E35,"n/a")</f>
        <v>n/a</v>
      </c>
      <c r="K35" s="269" t="str">
        <f>IFERROR(H35/G35,"n/a")</f>
        <v>n/a</v>
      </c>
      <c r="L35" s="468"/>
    </row>
    <row r="36" spans="2:12" x14ac:dyDescent="0.3">
      <c r="B36" s="469"/>
      <c r="C36" s="227"/>
      <c r="D36" s="165"/>
      <c r="E36" s="220"/>
      <c r="F36" s="220"/>
      <c r="G36" s="349"/>
      <c r="H36" s="108"/>
      <c r="I36" s="166"/>
      <c r="J36" s="228"/>
      <c r="K36" s="228"/>
      <c r="L36" s="461"/>
    </row>
    <row r="37" spans="2:12" ht="22.95" customHeight="1" x14ac:dyDescent="0.3">
      <c r="B37" s="470"/>
      <c r="C37" s="471" t="s">
        <v>57</v>
      </c>
      <c r="D37" s="4">
        <f>+D24+D29+D35</f>
        <v>121525</v>
      </c>
      <c r="E37" s="4">
        <f>+E24+E29+E35</f>
        <v>137049</v>
      </c>
      <c r="F37" s="4">
        <f>+F24+F29+F35</f>
        <v>68152</v>
      </c>
      <c r="G37" s="350">
        <f>+G24+G29+G35</f>
        <v>117425</v>
      </c>
      <c r="H37" s="322">
        <f>+H24+H29+H35</f>
        <v>124817.45</v>
      </c>
      <c r="I37" s="88">
        <f>IFERROR(G37/E37,"n/a")</f>
        <v>0.85681033790833938</v>
      </c>
      <c r="J37" s="88">
        <f>IFERROR(H37/E37,"n/a")</f>
        <v>0.91075053448036836</v>
      </c>
      <c r="K37" s="88">
        <f>IFERROR(H37/G37,"n/a")</f>
        <v>1.0629546519054716</v>
      </c>
      <c r="L37" s="472"/>
    </row>
    <row r="38" spans="2:12" x14ac:dyDescent="0.3">
      <c r="H38" s="271"/>
    </row>
    <row r="39" spans="2:12" x14ac:dyDescent="0.3">
      <c r="H39" s="284"/>
    </row>
    <row r="40" spans="2:12" x14ac:dyDescent="0.3">
      <c r="G40" t="s">
        <v>226</v>
      </c>
    </row>
    <row r="43" spans="2:12" x14ac:dyDescent="0.3">
      <c r="C43" t="s">
        <v>252</v>
      </c>
      <c r="G43" t="s">
        <v>253</v>
      </c>
    </row>
  </sheetData>
  <phoneticPr fontId="13" type="noConversion"/>
  <pageMargins left="0.75000000000000011" right="0.75000000000000011" top="1" bottom="1" header="0.5" footer="0.5"/>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7"/>
  <sheetViews>
    <sheetView workbookViewId="0">
      <selection activeCell="L26" sqref="L26"/>
    </sheetView>
  </sheetViews>
  <sheetFormatPr defaultColWidth="11.19921875" defaultRowHeight="15.6" x14ac:dyDescent="0.3"/>
  <cols>
    <col min="1" max="1" width="4.5" customWidth="1"/>
    <col min="2" max="2" width="10.69921875" customWidth="1"/>
    <col min="3" max="3" width="35" customWidth="1"/>
    <col min="4" max="11" width="13.5" customWidth="1"/>
    <col min="12" max="12" width="61.5" customWidth="1"/>
  </cols>
  <sheetData>
    <row r="1" spans="1:12" ht="16.2" thickBot="1" x14ac:dyDescent="0.35"/>
    <row r="2" spans="1:12" ht="21" x14ac:dyDescent="0.3">
      <c r="B2" s="477" t="s">
        <v>193</v>
      </c>
      <c r="C2" s="478"/>
      <c r="D2" s="478"/>
      <c r="E2" s="479"/>
      <c r="F2" s="479"/>
      <c r="G2" s="480"/>
      <c r="H2" s="480"/>
      <c r="I2" s="481"/>
      <c r="J2" s="481"/>
      <c r="K2" s="481"/>
      <c r="L2" s="482"/>
    </row>
    <row r="3" spans="1:12" ht="21" x14ac:dyDescent="0.3">
      <c r="B3" s="483" t="s">
        <v>179</v>
      </c>
      <c r="C3" s="484"/>
      <c r="D3" s="484"/>
      <c r="E3" s="486"/>
      <c r="F3" s="486"/>
      <c r="G3" s="487"/>
      <c r="H3" s="487"/>
      <c r="I3" s="488"/>
      <c r="J3" s="488"/>
      <c r="K3" s="488"/>
      <c r="L3" s="489"/>
    </row>
    <row r="4" spans="1:12" ht="63" thickBot="1" x14ac:dyDescent="0.35">
      <c r="A4" s="576"/>
      <c r="B4" s="473" t="s">
        <v>23</v>
      </c>
      <c r="C4" s="491" t="s">
        <v>24</v>
      </c>
      <c r="D4" s="473" t="s">
        <v>186</v>
      </c>
      <c r="E4" s="473" t="s">
        <v>131</v>
      </c>
      <c r="F4" s="473" t="s">
        <v>227</v>
      </c>
      <c r="G4" s="475" t="s">
        <v>187</v>
      </c>
      <c r="H4" s="475" t="s">
        <v>188</v>
      </c>
      <c r="I4" s="474" t="s">
        <v>189</v>
      </c>
      <c r="J4" s="473" t="s">
        <v>190</v>
      </c>
      <c r="K4" s="473" t="s">
        <v>191</v>
      </c>
      <c r="L4" s="476" t="s">
        <v>192</v>
      </c>
    </row>
    <row r="5" spans="1:12" x14ac:dyDescent="0.3">
      <c r="B5" s="12"/>
      <c r="C5" s="55"/>
      <c r="D5" s="122"/>
      <c r="E5" s="122"/>
      <c r="F5" s="122"/>
      <c r="G5" s="123"/>
      <c r="H5" s="124"/>
      <c r="I5" s="113"/>
      <c r="J5" s="113"/>
      <c r="K5" s="113"/>
      <c r="L5" s="101"/>
    </row>
    <row r="6" spans="1:12" ht="27" x14ac:dyDescent="0.3">
      <c r="B6" s="25">
        <v>4142</v>
      </c>
      <c r="C6" s="58" t="s">
        <v>58</v>
      </c>
      <c r="D6" s="13">
        <v>0</v>
      </c>
      <c r="E6" s="13">
        <v>1000</v>
      </c>
      <c r="F6" s="13">
        <v>0</v>
      </c>
      <c r="G6" s="112">
        <v>500</v>
      </c>
      <c r="H6" s="323">
        <v>1000</v>
      </c>
      <c r="I6" s="115">
        <f>IFERROR(G6/E6,"n/a")</f>
        <v>0.5</v>
      </c>
      <c r="J6" s="115">
        <f>IFERROR(H6/E6,"n/a")</f>
        <v>1</v>
      </c>
      <c r="K6" s="115">
        <f>IFERROR(H6/G6,"n/a")</f>
        <v>2</v>
      </c>
      <c r="L6" s="416" t="s">
        <v>162</v>
      </c>
    </row>
    <row r="7" spans="1:12" x14ac:dyDescent="0.3">
      <c r="B7" s="12"/>
      <c r="C7" s="58"/>
      <c r="D7" s="1"/>
      <c r="E7" s="1"/>
      <c r="F7" s="1"/>
      <c r="G7" s="109"/>
      <c r="H7" s="94"/>
      <c r="I7" s="113"/>
      <c r="J7" s="113"/>
      <c r="K7" s="113"/>
      <c r="L7" s="414"/>
    </row>
    <row r="8" spans="1:12" x14ac:dyDescent="0.3">
      <c r="B8" s="25">
        <v>4143</v>
      </c>
      <c r="C8" s="58" t="s">
        <v>59</v>
      </c>
      <c r="D8" s="13">
        <v>469</v>
      </c>
      <c r="E8" s="13">
        <v>667</v>
      </c>
      <c r="F8" s="13">
        <v>258</v>
      </c>
      <c r="G8" s="112">
        <v>650</v>
      </c>
      <c r="H8" s="323">
        <v>716</v>
      </c>
      <c r="I8" s="115">
        <f>IFERROR(G8/E8,"n/a")</f>
        <v>0.97451274362818596</v>
      </c>
      <c r="J8" s="115">
        <f>IFERROR(H8/E8,"n/a")</f>
        <v>1.0734632683658172</v>
      </c>
      <c r="K8" s="115">
        <f>IFERROR(H8/G8,"n/a")</f>
        <v>1.1015384615384616</v>
      </c>
      <c r="L8" s="416" t="s">
        <v>163</v>
      </c>
    </row>
    <row r="9" spans="1:12" x14ac:dyDescent="0.3">
      <c r="B9" s="25"/>
      <c r="C9" s="58"/>
      <c r="D9" s="13"/>
      <c r="E9" s="13">
        <v>0</v>
      </c>
      <c r="F9" s="13"/>
      <c r="G9" s="112"/>
      <c r="H9" s="323">
        <v>0</v>
      </c>
      <c r="I9" s="115"/>
      <c r="J9" s="115"/>
      <c r="K9" s="115"/>
      <c r="L9" s="408"/>
    </row>
    <row r="10" spans="1:12" ht="27" x14ac:dyDescent="0.3">
      <c r="B10" s="25">
        <v>4144</v>
      </c>
      <c r="C10" s="58" t="s">
        <v>60</v>
      </c>
      <c r="D10" s="13">
        <v>2101</v>
      </c>
      <c r="E10" s="13">
        <v>2040</v>
      </c>
      <c r="F10" s="13">
        <v>672</v>
      </c>
      <c r="G10" s="112">
        <v>1250</v>
      </c>
      <c r="H10" s="323">
        <v>1705</v>
      </c>
      <c r="I10" s="115">
        <f>IFERROR(G10/E10,"n/a")</f>
        <v>0.61274509803921573</v>
      </c>
      <c r="J10" s="115">
        <f>IFERROR(H10/E10,"n/a")</f>
        <v>0.83578431372549022</v>
      </c>
      <c r="K10" s="115">
        <f>IFERROR(H10/G10,"n/a")</f>
        <v>1.3640000000000001</v>
      </c>
      <c r="L10" s="416" t="s">
        <v>262</v>
      </c>
    </row>
    <row r="11" spans="1:12" x14ac:dyDescent="0.3">
      <c r="B11" s="25"/>
      <c r="C11" s="58"/>
      <c r="D11" s="13"/>
      <c r="E11" s="13"/>
      <c r="F11" s="13"/>
      <c r="G11" s="112"/>
      <c r="H11" s="323"/>
      <c r="I11" s="115"/>
      <c r="J11" s="115"/>
      <c r="K11" s="115"/>
      <c r="L11" s="408"/>
    </row>
    <row r="12" spans="1:12" x14ac:dyDescent="0.3">
      <c r="B12" s="25">
        <v>4146</v>
      </c>
      <c r="C12" s="58" t="s">
        <v>61</v>
      </c>
      <c r="D12" s="13">
        <v>0</v>
      </c>
      <c r="E12" s="13">
        <v>0</v>
      </c>
      <c r="F12" s="13">
        <v>0</v>
      </c>
      <c r="G12" s="112">
        <v>0</v>
      </c>
      <c r="H12" s="323">
        <v>0</v>
      </c>
      <c r="I12" s="115" t="str">
        <f>IFERROR(G12/E12,"n/a")</f>
        <v>n/a</v>
      </c>
      <c r="J12" s="115" t="str">
        <f>IFERROR(H12/E12,"n/a")</f>
        <v>n/a</v>
      </c>
      <c r="K12" s="115" t="str">
        <f>IFERROR(H12/G12,"n/a")</f>
        <v>n/a</v>
      </c>
      <c r="L12" s="416"/>
    </row>
    <row r="13" spans="1:12" x14ac:dyDescent="0.3">
      <c r="B13" s="25"/>
      <c r="C13" s="44"/>
      <c r="D13" s="13"/>
      <c r="E13" s="13"/>
      <c r="F13" s="13"/>
      <c r="G13" s="112"/>
      <c r="H13" s="95"/>
      <c r="I13" s="115"/>
      <c r="J13" s="115"/>
      <c r="K13" s="115"/>
      <c r="L13" s="416"/>
    </row>
    <row r="14" spans="1:12" x14ac:dyDescent="0.3">
      <c r="B14" s="230">
        <v>4147</v>
      </c>
      <c r="C14" s="44" t="s">
        <v>126</v>
      </c>
      <c r="D14" s="13">
        <v>0</v>
      </c>
      <c r="E14" s="13">
        <v>150</v>
      </c>
      <c r="F14" s="13">
        <v>10</v>
      </c>
      <c r="G14" s="112">
        <v>150</v>
      </c>
      <c r="H14" s="323">
        <v>150</v>
      </c>
      <c r="I14" s="115">
        <f>IFERROR(G14/E14,"n/a")</f>
        <v>1</v>
      </c>
      <c r="J14" s="115">
        <f>IFERROR(H14/E14,"n/a")</f>
        <v>1</v>
      </c>
      <c r="K14" s="115">
        <f>IFERROR(H14/G14,"n/a")</f>
        <v>1</v>
      </c>
      <c r="L14" s="416" t="s">
        <v>198</v>
      </c>
    </row>
    <row r="15" spans="1:12" x14ac:dyDescent="0.3">
      <c r="B15" s="230"/>
      <c r="C15" s="44"/>
      <c r="D15" s="13"/>
      <c r="E15" s="13"/>
      <c r="F15" s="13"/>
      <c r="G15" s="112"/>
      <c r="H15" s="323"/>
      <c r="I15" s="115"/>
      <c r="J15" s="115"/>
      <c r="K15" s="115"/>
      <c r="L15" s="416"/>
    </row>
    <row r="16" spans="1:12" x14ac:dyDescent="0.3">
      <c r="B16" s="167">
        <v>4807</v>
      </c>
      <c r="C16" s="168" t="s">
        <v>85</v>
      </c>
      <c r="D16" s="330">
        <v>0</v>
      </c>
      <c r="E16" s="331">
        <v>0</v>
      </c>
      <c r="F16" s="331">
        <v>0</v>
      </c>
      <c r="G16" s="354">
        <v>0</v>
      </c>
      <c r="H16" s="323">
        <v>0</v>
      </c>
      <c r="I16" s="332" t="str">
        <f>IFERROR(G16/E16,"n/a")</f>
        <v>n/a</v>
      </c>
      <c r="J16" s="332" t="str">
        <f>IFERROR(H16/E16,"n/a")</f>
        <v>n/a</v>
      </c>
      <c r="K16" s="332" t="str">
        <f>IFERROR(H16/G16,"n/a")</f>
        <v>n/a</v>
      </c>
      <c r="L16" s="414" t="s">
        <v>150</v>
      </c>
    </row>
    <row r="17" spans="2:12" x14ac:dyDescent="0.3">
      <c r="B17" s="14">
        <v>4452</v>
      </c>
      <c r="C17" s="45" t="s">
        <v>54</v>
      </c>
      <c r="D17" s="16">
        <v>280</v>
      </c>
      <c r="E17" s="73">
        <v>294</v>
      </c>
      <c r="F17" s="73">
        <v>0</v>
      </c>
      <c r="G17" s="349">
        <v>280</v>
      </c>
      <c r="H17" s="94">
        <v>309</v>
      </c>
      <c r="I17" s="87">
        <f>IFERROR(G17/E17,"n/a")</f>
        <v>0.95238095238095233</v>
      </c>
      <c r="J17" s="87">
        <f>IFERROR(H17/E17,"n/a")</f>
        <v>1.0510204081632653</v>
      </c>
      <c r="K17" s="87">
        <f>IFERROR(H17/G17,"n/a")</f>
        <v>1.1035714285714286</v>
      </c>
      <c r="L17" s="416" t="s">
        <v>199</v>
      </c>
    </row>
    <row r="18" spans="2:12" ht="27" x14ac:dyDescent="0.3">
      <c r="B18" s="263">
        <v>4454</v>
      </c>
      <c r="C18" s="276" t="s">
        <v>167</v>
      </c>
      <c r="D18" s="16">
        <v>0</v>
      </c>
      <c r="E18" s="73">
        <v>10000</v>
      </c>
      <c r="F18" s="73">
        <v>0</v>
      </c>
      <c r="G18" s="349">
        <v>2500</v>
      </c>
      <c r="H18" s="108">
        <v>9350</v>
      </c>
      <c r="I18" s="87">
        <f>IFERROR(G18/E18,"n/a")</f>
        <v>0.25</v>
      </c>
      <c r="J18" s="87">
        <f>IFERROR(H18/E18,"n/a")</f>
        <v>0.93500000000000005</v>
      </c>
      <c r="K18" s="87">
        <f>IFERROR(H18/G18,"n/a")</f>
        <v>3.74</v>
      </c>
      <c r="L18" s="416" t="s">
        <v>240</v>
      </c>
    </row>
    <row r="19" spans="2:12" ht="40.200000000000003" x14ac:dyDescent="0.3">
      <c r="B19" s="14">
        <v>4453</v>
      </c>
      <c r="C19" s="45" t="s">
        <v>127</v>
      </c>
      <c r="D19" s="16">
        <v>0</v>
      </c>
      <c r="E19" s="73">
        <v>500</v>
      </c>
      <c r="F19" s="73">
        <v>195</v>
      </c>
      <c r="G19" s="349">
        <v>195</v>
      </c>
      <c r="H19" s="94">
        <v>500</v>
      </c>
      <c r="I19" s="87">
        <f>IFERROR(G19/E19,"n/a")</f>
        <v>0.39</v>
      </c>
      <c r="J19" s="87">
        <f>IFERROR(H19/E19,"n/a")</f>
        <v>1</v>
      </c>
      <c r="K19" s="87">
        <f>IFERROR(H19/G19,"n/a")</f>
        <v>2.5641025641025643</v>
      </c>
      <c r="L19" s="416" t="s">
        <v>231</v>
      </c>
    </row>
    <row r="20" spans="2:12" ht="25.2" customHeight="1" thickBot="1" x14ac:dyDescent="0.35">
      <c r="B20" s="26"/>
      <c r="C20" s="52" t="s">
        <v>175</v>
      </c>
      <c r="D20" s="18">
        <f>SUM(D6:D19)</f>
        <v>2850</v>
      </c>
      <c r="E20" s="18">
        <f>SUM(E6:E19)</f>
        <v>14651</v>
      </c>
      <c r="F20" s="18">
        <f>SUM(F6:F19)</f>
        <v>1135</v>
      </c>
      <c r="G20" s="355">
        <f>SUM(G6:G19)</f>
        <v>5525</v>
      </c>
      <c r="H20" s="324">
        <f>SUM(H6:H19)</f>
        <v>13730</v>
      </c>
      <c r="I20" s="24">
        <f>IFERROR(G20/E20,"n/a")</f>
        <v>0.37710736468500444</v>
      </c>
      <c r="J20" s="24">
        <f>IFERROR(H20/E20,"n/a")</f>
        <v>0.93713739676472596</v>
      </c>
      <c r="K20" s="24">
        <f>IFERROR(H20/G20,"n/a")</f>
        <v>2.4850678733031675</v>
      </c>
      <c r="L20" s="435"/>
    </row>
    <row r="21" spans="2:12" x14ac:dyDescent="0.3">
      <c r="B21" s="263"/>
      <c r="C21" s="45"/>
      <c r="D21" s="16"/>
      <c r="E21" s="73"/>
      <c r="F21" s="73"/>
      <c r="G21" s="1"/>
      <c r="H21" s="108"/>
      <c r="I21" s="87"/>
      <c r="J21" s="87"/>
      <c r="K21" s="87"/>
      <c r="L21" s="408"/>
    </row>
    <row r="22" spans="2:12" s="132" customFormat="1" x14ac:dyDescent="0.3">
      <c r="B22" s="131">
        <v>4142</v>
      </c>
      <c r="C22" s="126" t="s">
        <v>82</v>
      </c>
      <c r="D22" s="127">
        <v>0</v>
      </c>
      <c r="E22" s="128">
        <v>0</v>
      </c>
      <c r="F22" s="128">
        <v>0</v>
      </c>
      <c r="G22" s="129">
        <v>0</v>
      </c>
      <c r="H22" s="128">
        <v>0</v>
      </c>
      <c r="I22" s="130" t="str">
        <f>IFERROR(G22/E22,"n/a")</f>
        <v>n/a</v>
      </c>
      <c r="J22" s="130" t="str">
        <f>IFERROR(H22/E22,"n/a")</f>
        <v>n/a</v>
      </c>
      <c r="K22" s="130" t="str">
        <f>IFERROR(H22/G22,"n/a")</f>
        <v>n/a</v>
      </c>
      <c r="L22" s="436" t="s">
        <v>129</v>
      </c>
    </row>
    <row r="23" spans="2:12" s="132" customFormat="1" x14ac:dyDescent="0.3">
      <c r="B23" s="131"/>
      <c r="C23" s="126"/>
      <c r="D23" s="127"/>
      <c r="E23" s="128"/>
      <c r="F23" s="128"/>
      <c r="G23" s="129"/>
      <c r="H23" s="128"/>
      <c r="I23" s="130"/>
      <c r="J23" s="130"/>
      <c r="K23" s="130"/>
      <c r="L23" s="436"/>
    </row>
    <row r="24" spans="2:12" s="132" customFormat="1" ht="27" x14ac:dyDescent="0.3">
      <c r="B24" s="263">
        <v>4807</v>
      </c>
      <c r="C24" s="276" t="s">
        <v>97</v>
      </c>
      <c r="D24" s="16">
        <v>17</v>
      </c>
      <c r="E24" s="73">
        <v>0</v>
      </c>
      <c r="F24" s="73">
        <v>0</v>
      </c>
      <c r="G24" s="349">
        <v>0</v>
      </c>
      <c r="H24" s="108"/>
      <c r="I24" s="87" t="str">
        <f>IFERROR(G24/E24,"n/a")</f>
        <v>n/a</v>
      </c>
      <c r="J24" s="87" t="str">
        <f>IFERROR(H24/E24,"n/a")</f>
        <v>n/a</v>
      </c>
      <c r="K24" s="87" t="str">
        <f>IFERROR(H24/G24,"n/a")</f>
        <v>n/a</v>
      </c>
      <c r="L24" s="416" t="s">
        <v>284</v>
      </c>
    </row>
    <row r="25" spans="2:12" s="132" customFormat="1" x14ac:dyDescent="0.3">
      <c r="B25" s="263"/>
      <c r="C25" s="276"/>
      <c r="D25" s="16"/>
      <c r="E25" s="73"/>
      <c r="F25" s="73"/>
      <c r="G25" s="349"/>
      <c r="H25" s="108"/>
      <c r="I25" s="87"/>
      <c r="J25" s="87"/>
      <c r="K25" s="87"/>
      <c r="L25" s="408"/>
    </row>
    <row r="26" spans="2:12" s="132" customFormat="1" x14ac:dyDescent="0.3">
      <c r="B26" s="263">
        <v>4808</v>
      </c>
      <c r="C26" s="276" t="s">
        <v>125</v>
      </c>
      <c r="D26" s="16">
        <v>32138</v>
      </c>
      <c r="E26" s="73">
        <v>319205</v>
      </c>
      <c r="F26" s="73">
        <v>9108</v>
      </c>
      <c r="G26" s="349">
        <v>13258</v>
      </c>
      <c r="H26" s="108">
        <v>308543</v>
      </c>
      <c r="I26" s="87">
        <f>IFERROR(G26/E26,"n/a")</f>
        <v>4.1534437117213073E-2</v>
      </c>
      <c r="J26" s="87">
        <f>IFERROR(H26/E26,"n/a")</f>
        <v>0.96659826757099665</v>
      </c>
      <c r="K26" s="87">
        <f>IFERROR(H26/G26,"n/a")</f>
        <v>23.272213003469602</v>
      </c>
      <c r="L26" s="505" t="s">
        <v>245</v>
      </c>
    </row>
    <row r="27" spans="2:12" s="132" customFormat="1" x14ac:dyDescent="0.3">
      <c r="B27" s="272"/>
      <c r="C27" s="450"/>
      <c r="D27" s="16"/>
      <c r="E27" s="73"/>
      <c r="F27" s="73"/>
      <c r="G27" s="349"/>
      <c r="H27" s="108"/>
      <c r="I27" s="87"/>
      <c r="J27" s="87"/>
      <c r="K27" s="87"/>
      <c r="L27" s="416"/>
    </row>
    <row r="28" spans="2:12" ht="27" x14ac:dyDescent="0.3">
      <c r="B28" s="263">
        <v>4477</v>
      </c>
      <c r="C28" s="45" t="s">
        <v>94</v>
      </c>
      <c r="D28" s="16">
        <v>7087</v>
      </c>
      <c r="E28" s="73">
        <v>10000</v>
      </c>
      <c r="F28" s="73">
        <v>0</v>
      </c>
      <c r="G28" s="349">
        <v>10000</v>
      </c>
      <c r="H28" s="94">
        <v>10000</v>
      </c>
      <c r="I28" s="87">
        <f>IFERROR(G28/E28,"n/a")</f>
        <v>1</v>
      </c>
      <c r="J28" s="87">
        <f>IFERROR(H28/E28,"n/a")</f>
        <v>1</v>
      </c>
      <c r="K28" s="87">
        <f>IFERROR(H28/G28,"n/a")</f>
        <v>1</v>
      </c>
      <c r="L28" s="416" t="s">
        <v>106</v>
      </c>
    </row>
    <row r="29" spans="2:12" s="132" customFormat="1" x14ac:dyDescent="0.3">
      <c r="B29" s="266"/>
      <c r="C29" s="267" t="s">
        <v>81</v>
      </c>
      <c r="D29" s="268">
        <f>SUM(D22:D28)</f>
        <v>39242</v>
      </c>
      <c r="E29" s="260">
        <f>SUM(E22:E28)</f>
        <v>329205</v>
      </c>
      <c r="F29" s="260">
        <f>SUM(F22:F28)</f>
        <v>9108</v>
      </c>
      <c r="G29" s="350">
        <f>SUM(G22:G28)</f>
        <v>23258</v>
      </c>
      <c r="H29" s="325">
        <f>SUM(H22:H28)</f>
        <v>318543</v>
      </c>
      <c r="I29" s="269">
        <f>IFERROR(G29/E29,"n/a")</f>
        <v>7.0648987712823311E-2</v>
      </c>
      <c r="J29" s="269">
        <f>IFERROR(H29/E29,"n/a")</f>
        <v>0.96761288558800751</v>
      </c>
      <c r="K29" s="269">
        <f>IFERROR(H29/G29,"n/a")</f>
        <v>13.6960615702124</v>
      </c>
      <c r="L29" s="433"/>
    </row>
    <row r="30" spans="2:12" x14ac:dyDescent="0.3">
      <c r="B30" s="273"/>
      <c r="C30" s="125"/>
      <c r="D30" s="16"/>
      <c r="E30" s="73"/>
      <c r="F30" s="73"/>
      <c r="G30" s="349"/>
      <c r="H30" s="108"/>
      <c r="I30" s="87"/>
      <c r="J30" s="319"/>
      <c r="K30" s="319"/>
      <c r="L30" s="408"/>
    </row>
    <row r="31" spans="2:12" ht="16.2" thickBot="1" x14ac:dyDescent="0.35">
      <c r="B31" s="11"/>
      <c r="C31" s="54" t="s">
        <v>174</v>
      </c>
      <c r="D31" s="18">
        <f>D20+D29</f>
        <v>42092</v>
      </c>
      <c r="E31" s="18">
        <f t="shared" ref="E31:H31" si="0">E20+E29</f>
        <v>343856</v>
      </c>
      <c r="F31" s="18">
        <f t="shared" ref="F31" si="1">F20+F29</f>
        <v>10243</v>
      </c>
      <c r="G31" s="355">
        <f t="shared" si="0"/>
        <v>28783</v>
      </c>
      <c r="H31" s="326">
        <f t="shared" si="0"/>
        <v>332273</v>
      </c>
      <c r="I31" s="121">
        <f>IFERROR(G31/E31,"n/a")</f>
        <v>8.3706551579731045E-2</v>
      </c>
      <c r="J31" s="121">
        <f>IFERROR(H31/E31,"n/a")</f>
        <v>0.96631438741798892</v>
      </c>
      <c r="K31" s="121">
        <f>IFERROR(H31/G31,"n/a")</f>
        <v>11.544071153111211</v>
      </c>
      <c r="L31" s="437"/>
    </row>
    <row r="35" spans="7:15" x14ac:dyDescent="0.3">
      <c r="G35" s="38">
        <f>G29-F29</f>
        <v>14150</v>
      </c>
      <c r="H35" s="38">
        <f>H29-G29</f>
        <v>295285</v>
      </c>
    </row>
    <row r="37" spans="7:15" x14ac:dyDescent="0.3">
      <c r="I37" s="13"/>
      <c r="J37" s="13"/>
      <c r="K37" s="112"/>
      <c r="L37" s="95"/>
      <c r="M37" s="115"/>
      <c r="N37" s="115"/>
      <c r="O37" s="115"/>
    </row>
  </sheetData>
  <phoneticPr fontId="13" type="noConversion"/>
  <pageMargins left="0.75000000000000011" right="0.75000000000000011" top="1" bottom="1" header="0.5" footer="0.5"/>
  <pageSetup paperSize="9" scale="5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8"/>
  <sheetViews>
    <sheetView workbookViewId="0">
      <selection activeCell="O44" sqref="O44"/>
    </sheetView>
  </sheetViews>
  <sheetFormatPr defaultColWidth="11.19921875" defaultRowHeight="15.6" x14ac:dyDescent="0.3"/>
  <cols>
    <col min="1" max="1" width="4.19921875" customWidth="1"/>
    <col min="2" max="2" width="10.69921875" customWidth="1"/>
    <col min="3" max="3" width="35" customWidth="1"/>
    <col min="4" max="6" width="13.5" customWidth="1"/>
    <col min="7" max="8" width="13.5" style="182" customWidth="1"/>
    <col min="9" max="11" width="13.5" customWidth="1"/>
    <col min="12" max="12" width="61.5" style="184" customWidth="1"/>
  </cols>
  <sheetData>
    <row r="1" spans="1:12" ht="16.2" thickBot="1" x14ac:dyDescent="0.35"/>
    <row r="2" spans="1:12" ht="21" x14ac:dyDescent="0.3">
      <c r="B2" s="477" t="s">
        <v>130</v>
      </c>
      <c r="C2" s="478"/>
      <c r="D2" s="478"/>
      <c r="E2" s="479"/>
      <c r="F2" s="479"/>
      <c r="G2" s="480"/>
      <c r="H2" s="480"/>
      <c r="I2" s="481"/>
      <c r="J2" s="481"/>
      <c r="K2" s="481"/>
      <c r="L2" s="482"/>
    </row>
    <row r="3" spans="1:12" ht="21" x14ac:dyDescent="0.3">
      <c r="B3" s="483" t="s">
        <v>180</v>
      </c>
      <c r="C3" s="484"/>
      <c r="D3" s="484"/>
      <c r="E3" s="486"/>
      <c r="F3" s="486"/>
      <c r="G3" s="487"/>
      <c r="H3" s="487"/>
      <c r="I3" s="488"/>
      <c r="J3" s="488"/>
      <c r="K3" s="488"/>
      <c r="L3" s="489"/>
    </row>
    <row r="4" spans="1:12" ht="63" thickBot="1" x14ac:dyDescent="0.35">
      <c r="A4" s="576"/>
      <c r="B4" s="473" t="s">
        <v>23</v>
      </c>
      <c r="C4" s="491" t="s">
        <v>24</v>
      </c>
      <c r="D4" s="473" t="s">
        <v>186</v>
      </c>
      <c r="E4" s="473" t="s">
        <v>131</v>
      </c>
      <c r="F4" s="473" t="s">
        <v>227</v>
      </c>
      <c r="G4" s="475" t="s">
        <v>187</v>
      </c>
      <c r="H4" s="475" t="s">
        <v>188</v>
      </c>
      <c r="I4" s="474" t="s">
        <v>189</v>
      </c>
      <c r="J4" s="473" t="s">
        <v>190</v>
      </c>
      <c r="K4" s="473" t="s">
        <v>191</v>
      </c>
      <c r="L4" s="476" t="s">
        <v>192</v>
      </c>
    </row>
    <row r="5" spans="1:12" x14ac:dyDescent="0.3">
      <c r="B5" s="12"/>
      <c r="C5" s="44"/>
      <c r="D5" s="2"/>
      <c r="E5" s="3"/>
      <c r="F5" s="3"/>
      <c r="G5" s="183"/>
      <c r="H5" s="183"/>
      <c r="I5" s="10"/>
      <c r="J5" s="10"/>
      <c r="K5" s="10"/>
      <c r="L5" s="506"/>
    </row>
    <row r="6" spans="1:12" ht="79.8" x14ac:dyDescent="0.3">
      <c r="B6" s="15">
        <v>4300</v>
      </c>
      <c r="C6" s="48" t="s">
        <v>62</v>
      </c>
      <c r="D6" s="310">
        <v>4219</v>
      </c>
      <c r="E6" s="310">
        <v>4423</v>
      </c>
      <c r="F6" s="310">
        <v>1018</v>
      </c>
      <c r="G6" s="356">
        <v>4371.8</v>
      </c>
      <c r="H6" s="303">
        <v>5000</v>
      </c>
      <c r="I6" s="315">
        <f>IFERROR(G6/E6,"n/a")</f>
        <v>0.98842414650689581</v>
      </c>
      <c r="J6" s="315">
        <f>IFERROR(H6/E6,"n/a")</f>
        <v>1.1304544426859597</v>
      </c>
      <c r="K6" s="315">
        <f>IFERROR(H6/G6,"n/a")</f>
        <v>1.1436936730866005</v>
      </c>
      <c r="L6" s="411" t="s">
        <v>202</v>
      </c>
    </row>
    <row r="7" spans="1:12" x14ac:dyDescent="0.3">
      <c r="B7" s="90"/>
      <c r="C7" s="83"/>
      <c r="D7" s="311"/>
      <c r="E7" s="311"/>
      <c r="F7" s="311"/>
      <c r="G7" s="357"/>
      <c r="H7" s="304"/>
      <c r="I7" s="311"/>
      <c r="J7" s="311"/>
      <c r="K7" s="311"/>
      <c r="L7" s="438"/>
    </row>
    <row r="8" spans="1:12" ht="53.4" x14ac:dyDescent="0.3">
      <c r="B8" s="15">
        <v>4301</v>
      </c>
      <c r="C8" s="48" t="s">
        <v>63</v>
      </c>
      <c r="D8" s="34">
        <v>8544</v>
      </c>
      <c r="E8" s="34">
        <v>17750</v>
      </c>
      <c r="F8" s="34">
        <v>2973</v>
      </c>
      <c r="G8" s="358">
        <v>39281.9</v>
      </c>
      <c r="H8" s="303">
        <v>12270</v>
      </c>
      <c r="I8" s="315">
        <f>IFERROR(G8/E8,"n/a")</f>
        <v>2.2130647887323946</v>
      </c>
      <c r="J8" s="315">
        <f>IFERROR(H8/E8,"n/a")</f>
        <v>0.69126760563380285</v>
      </c>
      <c r="K8" s="315">
        <f>IFERROR(H8/G8,"n/a")</f>
        <v>0.3123575998105998</v>
      </c>
      <c r="L8" s="411" t="s">
        <v>285</v>
      </c>
    </row>
    <row r="9" spans="1:12" x14ac:dyDescent="0.3">
      <c r="B9" s="9"/>
      <c r="C9" s="45"/>
      <c r="D9" s="10"/>
      <c r="E9" s="10"/>
      <c r="F9" s="10"/>
      <c r="G9" s="359"/>
      <c r="H9" s="305"/>
      <c r="I9" s="10"/>
      <c r="J9" s="10"/>
      <c r="K9" s="10"/>
      <c r="L9" s="410"/>
    </row>
    <row r="10" spans="1:12" x14ac:dyDescent="0.3">
      <c r="B10" s="15">
        <v>4302</v>
      </c>
      <c r="C10" s="48" t="s">
        <v>64</v>
      </c>
      <c r="D10" s="310">
        <v>1251</v>
      </c>
      <c r="E10" s="310">
        <v>1705</v>
      </c>
      <c r="F10" s="310">
        <v>607</v>
      </c>
      <c r="G10" s="356">
        <v>1460</v>
      </c>
      <c r="H10" s="303">
        <v>1705.2</v>
      </c>
      <c r="I10" s="315">
        <f>IFERROR(G10/E10,"n/a")</f>
        <v>0.85630498533724342</v>
      </c>
      <c r="J10" s="315">
        <f>IFERROR(H10/E10,"n/a")</f>
        <v>1.000117302052786</v>
      </c>
      <c r="K10" s="315">
        <f>IFERROR(H10/G10,"n/a")</f>
        <v>1.1679452054794521</v>
      </c>
      <c r="L10" s="411" t="s">
        <v>201</v>
      </c>
    </row>
    <row r="11" spans="1:12" x14ac:dyDescent="0.3">
      <c r="B11" s="9"/>
      <c r="C11" s="45"/>
      <c r="D11" s="10"/>
      <c r="E11" s="10"/>
      <c r="F11" s="10"/>
      <c r="G11" s="359"/>
      <c r="H11" s="305"/>
      <c r="I11" s="10"/>
      <c r="J11" s="10"/>
      <c r="K11" s="10"/>
      <c r="L11" s="508"/>
    </row>
    <row r="12" spans="1:12" ht="27" x14ac:dyDescent="0.3">
      <c r="B12" s="15">
        <v>4303</v>
      </c>
      <c r="C12" s="48" t="s">
        <v>65</v>
      </c>
      <c r="D12" s="310">
        <v>5008</v>
      </c>
      <c r="E12" s="310">
        <v>10000</v>
      </c>
      <c r="F12" s="310">
        <v>460</v>
      </c>
      <c r="G12" s="358">
        <v>10000</v>
      </c>
      <c r="H12" s="303">
        <v>12000</v>
      </c>
      <c r="I12" s="315">
        <f>IFERROR(G12/E12,"n/a")</f>
        <v>1</v>
      </c>
      <c r="J12" s="315">
        <f>IFERROR(H12/E12,"n/a")</f>
        <v>1.2</v>
      </c>
      <c r="K12" s="315">
        <f>IFERROR(H12/G12,"n/a")</f>
        <v>1.2</v>
      </c>
      <c r="L12" s="411" t="s">
        <v>203</v>
      </c>
    </row>
    <row r="13" spans="1:12" x14ac:dyDescent="0.3">
      <c r="B13" s="14"/>
      <c r="C13" s="45"/>
      <c r="D13" s="312"/>
      <c r="E13" s="312"/>
      <c r="F13" s="312"/>
      <c r="G13" s="360"/>
      <c r="H13" s="306"/>
      <c r="I13" s="316"/>
      <c r="J13" s="316"/>
      <c r="K13" s="316"/>
      <c r="L13" s="505"/>
    </row>
    <row r="14" spans="1:12" ht="53.4" x14ac:dyDescent="0.3">
      <c r="B14" s="15">
        <v>4311</v>
      </c>
      <c r="C14" s="48" t="s">
        <v>128</v>
      </c>
      <c r="D14" s="310">
        <v>540</v>
      </c>
      <c r="E14" s="310">
        <v>717</v>
      </c>
      <c r="F14" s="310">
        <v>0</v>
      </c>
      <c r="G14" s="358">
        <v>717</v>
      </c>
      <c r="H14" s="303">
        <v>753</v>
      </c>
      <c r="I14" s="315">
        <f>IFERROR(G14/E14,"n/a")</f>
        <v>1</v>
      </c>
      <c r="J14" s="315">
        <f>IFERROR(H14/E14,"n/a")</f>
        <v>1.0502092050209204</v>
      </c>
      <c r="K14" s="315">
        <f>IFERROR(H14/G14,"n/a")</f>
        <v>1.0502092050209204</v>
      </c>
      <c r="L14" s="411" t="s">
        <v>204</v>
      </c>
    </row>
    <row r="15" spans="1:12" x14ac:dyDescent="0.3">
      <c r="B15" s="9"/>
      <c r="C15" s="45"/>
      <c r="D15" s="10"/>
      <c r="E15" s="10"/>
      <c r="F15" s="10"/>
      <c r="G15" s="359"/>
      <c r="H15" s="305"/>
      <c r="I15" s="10"/>
      <c r="J15" s="10"/>
      <c r="K15" s="10"/>
      <c r="L15" s="508"/>
    </row>
    <row r="16" spans="1:12" ht="28.2" customHeight="1" x14ac:dyDescent="0.3">
      <c r="B16" s="15">
        <v>4320</v>
      </c>
      <c r="C16" s="49" t="s">
        <v>66</v>
      </c>
      <c r="D16" s="69">
        <v>2701</v>
      </c>
      <c r="E16" s="69">
        <v>2701</v>
      </c>
      <c r="F16" s="69">
        <v>2701</v>
      </c>
      <c r="G16" s="356">
        <v>2701</v>
      </c>
      <c r="H16" s="303">
        <v>2701</v>
      </c>
      <c r="I16" s="315">
        <f>IFERROR(G16/E16,"n/a")</f>
        <v>1</v>
      </c>
      <c r="J16" s="315">
        <f>IFERROR(H16/E16,"n/a")</f>
        <v>1</v>
      </c>
      <c r="K16" s="315">
        <f>IFERROR(H16/G16,"n/a")</f>
        <v>1</v>
      </c>
      <c r="L16" s="411" t="s">
        <v>67</v>
      </c>
    </row>
    <row r="17" spans="2:12" x14ac:dyDescent="0.3">
      <c r="B17" s="9"/>
      <c r="C17" s="46"/>
      <c r="D17" s="10"/>
      <c r="E17" s="10"/>
      <c r="F17" s="10"/>
      <c r="G17" s="359"/>
      <c r="H17" s="305"/>
      <c r="I17" s="10"/>
      <c r="J17" s="10"/>
      <c r="K17" s="10"/>
      <c r="L17" s="508"/>
    </row>
    <row r="18" spans="2:12" ht="40.200000000000003" customHeight="1" x14ac:dyDescent="0.3">
      <c r="B18" s="15">
        <v>4200</v>
      </c>
      <c r="C18" s="49" t="s">
        <v>68</v>
      </c>
      <c r="D18" s="310">
        <v>1624</v>
      </c>
      <c r="E18" s="310">
        <v>4020</v>
      </c>
      <c r="F18" s="310">
        <v>720</v>
      </c>
      <c r="G18" s="356">
        <v>1280</v>
      </c>
      <c r="H18" s="303">
        <v>3440</v>
      </c>
      <c r="I18" s="315">
        <f>IFERROR(G18/E18,"n/a")</f>
        <v>0.31840796019900497</v>
      </c>
      <c r="J18" s="315">
        <f>IFERROR(H18/E18,"n/a")</f>
        <v>0.85572139303482586</v>
      </c>
      <c r="K18" s="315">
        <f>IFERROR(H18/G18,"n/a")</f>
        <v>2.6875</v>
      </c>
      <c r="L18" s="411" t="s">
        <v>286</v>
      </c>
    </row>
    <row r="19" spans="2:12" x14ac:dyDescent="0.3">
      <c r="B19" s="9"/>
      <c r="C19" s="46"/>
      <c r="D19" s="10"/>
      <c r="E19" s="10"/>
      <c r="F19" s="10"/>
      <c r="G19" s="359"/>
      <c r="H19" s="305"/>
      <c r="I19" s="10"/>
      <c r="J19" s="10"/>
      <c r="K19" s="10"/>
      <c r="L19" s="410"/>
    </row>
    <row r="20" spans="2:12" ht="27" x14ac:dyDescent="0.3">
      <c r="B20" s="15">
        <v>4201</v>
      </c>
      <c r="C20" s="49" t="s">
        <v>69</v>
      </c>
      <c r="D20" s="310">
        <v>444</v>
      </c>
      <c r="E20" s="310">
        <v>1500</v>
      </c>
      <c r="F20" s="310">
        <v>523</v>
      </c>
      <c r="G20" s="356">
        <v>1000</v>
      </c>
      <c r="H20" s="303">
        <v>2040</v>
      </c>
      <c r="I20" s="315">
        <f>IFERROR(G20/E20,"n/a")</f>
        <v>0.66666666666666663</v>
      </c>
      <c r="J20" s="315">
        <f>IFERROR(H20/E20,"n/a")</f>
        <v>1.36</v>
      </c>
      <c r="K20" s="315">
        <f>IFERROR(H20/G20,"n/a")</f>
        <v>2.04</v>
      </c>
      <c r="L20" s="411" t="s">
        <v>206</v>
      </c>
    </row>
    <row r="21" spans="2:12" x14ac:dyDescent="0.3">
      <c r="B21" s="9"/>
      <c r="C21" s="46"/>
      <c r="D21" s="10"/>
      <c r="E21" s="10"/>
      <c r="F21" s="10"/>
      <c r="G21" s="359"/>
      <c r="H21" s="305"/>
      <c r="I21" s="10"/>
      <c r="J21" s="10"/>
      <c r="K21" s="10"/>
      <c r="L21" s="410"/>
    </row>
    <row r="22" spans="2:12" ht="27" x14ac:dyDescent="0.3">
      <c r="B22" s="15">
        <v>4202</v>
      </c>
      <c r="C22" s="49" t="s">
        <v>70</v>
      </c>
      <c r="D22" s="310">
        <v>250</v>
      </c>
      <c r="E22" s="310">
        <v>250</v>
      </c>
      <c r="F22" s="310">
        <v>125</v>
      </c>
      <c r="G22" s="356">
        <v>250</v>
      </c>
      <c r="H22" s="303">
        <v>250</v>
      </c>
      <c r="I22" s="315">
        <f>IFERROR(G22/E22,"n/a")</f>
        <v>1</v>
      </c>
      <c r="J22" s="315">
        <f>IFERROR(H22/E22,"n/a")</f>
        <v>1</v>
      </c>
      <c r="K22" s="315">
        <f>IFERROR(H22/G22,"n/a")</f>
        <v>1</v>
      </c>
      <c r="L22" s="411" t="s">
        <v>205</v>
      </c>
    </row>
    <row r="23" spans="2:12" x14ac:dyDescent="0.3">
      <c r="B23" s="92"/>
      <c r="C23" s="338"/>
      <c r="D23" s="312"/>
      <c r="E23" s="312"/>
      <c r="F23" s="312"/>
      <c r="G23" s="361"/>
      <c r="H23" s="306"/>
      <c r="I23" s="316"/>
      <c r="J23" s="316"/>
      <c r="K23" s="316"/>
      <c r="L23" s="508"/>
    </row>
    <row r="24" spans="2:12" x14ac:dyDescent="0.3">
      <c r="B24" s="92"/>
      <c r="C24" s="91"/>
      <c r="D24" s="313"/>
      <c r="E24" s="313"/>
      <c r="F24" s="313"/>
      <c r="G24" s="362"/>
      <c r="H24" s="307"/>
      <c r="I24" s="317"/>
      <c r="J24" s="317"/>
      <c r="K24" s="317"/>
      <c r="L24" s="507"/>
    </row>
    <row r="25" spans="2:12" ht="27" x14ac:dyDescent="0.3">
      <c r="B25" s="36">
        <v>4309</v>
      </c>
      <c r="C25" s="102" t="s">
        <v>71</v>
      </c>
      <c r="D25" s="69">
        <v>260</v>
      </c>
      <c r="E25" s="69">
        <v>237</v>
      </c>
      <c r="F25" s="69">
        <v>96</v>
      </c>
      <c r="G25" s="356">
        <v>140</v>
      </c>
      <c r="H25" s="303">
        <v>237</v>
      </c>
      <c r="I25" s="315">
        <f>IFERROR(G25/E25,"n/a")</f>
        <v>0.59071729957805907</v>
      </c>
      <c r="J25" s="315">
        <f>IFERROR(H25/E25,"n/a")</f>
        <v>1</v>
      </c>
      <c r="K25" s="315">
        <f>IFERROR(H25/G25,"n/a")</f>
        <v>1.6928571428571428</v>
      </c>
      <c r="L25" s="411" t="s">
        <v>164</v>
      </c>
    </row>
    <row r="26" spans="2:12" x14ac:dyDescent="0.3">
      <c r="B26" s="92"/>
      <c r="L26" s="508"/>
    </row>
    <row r="27" spans="2:12" x14ac:dyDescent="0.3">
      <c r="B27" s="36">
        <v>4375</v>
      </c>
      <c r="C27" s="67" t="s">
        <v>74</v>
      </c>
      <c r="D27" s="327">
        <v>614</v>
      </c>
      <c r="E27" s="327">
        <v>500</v>
      </c>
      <c r="F27" s="327">
        <v>88</v>
      </c>
      <c r="G27" s="346">
        <v>500</v>
      </c>
      <c r="H27" s="328">
        <v>500</v>
      </c>
      <c r="I27" s="315">
        <f>IFERROR(G27/E27,"n/a")</f>
        <v>1</v>
      </c>
      <c r="J27" s="315">
        <f>IFERROR(H27/E27,"n/a")</f>
        <v>1</v>
      </c>
      <c r="K27" s="315">
        <f>IFERROR(H27/G27,"n/a")</f>
        <v>1</v>
      </c>
      <c r="L27" s="411" t="s">
        <v>165</v>
      </c>
    </row>
    <row r="28" spans="2:12" x14ac:dyDescent="0.3">
      <c r="B28" s="36"/>
      <c r="C28" s="67"/>
      <c r="D28" s="327"/>
      <c r="E28" s="327"/>
      <c r="F28" s="327"/>
      <c r="G28" s="346"/>
      <c r="H28" s="328"/>
      <c r="I28" s="315"/>
      <c r="J28" s="315"/>
      <c r="K28" s="315"/>
      <c r="L28" s="505"/>
    </row>
    <row r="29" spans="2:12" x14ac:dyDescent="0.3">
      <c r="B29" s="36">
        <v>4352</v>
      </c>
      <c r="C29" s="64" t="s">
        <v>73</v>
      </c>
      <c r="D29" s="327">
        <v>1120</v>
      </c>
      <c r="E29" s="327">
        <v>400</v>
      </c>
      <c r="F29" s="327">
        <v>0</v>
      </c>
      <c r="G29" s="346">
        <v>400</v>
      </c>
      <c r="H29" s="328">
        <v>0</v>
      </c>
      <c r="I29" s="315">
        <f>IFERROR(G29/E29,"n/a")</f>
        <v>1</v>
      </c>
      <c r="J29" s="315">
        <f>IFERROR(H29/E29,"n/a")</f>
        <v>0</v>
      </c>
      <c r="K29" s="315">
        <f>IFERROR(H29/G29,"n/a")</f>
        <v>0</v>
      </c>
      <c r="L29" s="505"/>
    </row>
    <row r="30" spans="2:12" x14ac:dyDescent="0.3">
      <c r="B30" s="25"/>
      <c r="C30" s="44"/>
      <c r="D30" s="451"/>
      <c r="E30" s="451"/>
      <c r="F30" s="451"/>
      <c r="G30" s="112"/>
      <c r="H30" s="323"/>
      <c r="I30" s="316"/>
      <c r="J30" s="316"/>
      <c r="K30" s="316"/>
      <c r="L30" s="505"/>
    </row>
    <row r="31" spans="2:12" x14ac:dyDescent="0.3">
      <c r="B31" s="12">
        <v>4354</v>
      </c>
      <c r="C31" s="44" t="s">
        <v>116</v>
      </c>
      <c r="D31" s="3">
        <v>225</v>
      </c>
      <c r="E31" s="10">
        <v>0</v>
      </c>
      <c r="F31" s="10">
        <v>158</v>
      </c>
      <c r="G31" s="109">
        <v>180</v>
      </c>
      <c r="H31" s="108">
        <v>180</v>
      </c>
      <c r="I31" s="23" t="str">
        <f>IFERROR(G31/E31,"n/a")</f>
        <v>n/a</v>
      </c>
      <c r="J31" s="23" t="str">
        <f>IFERROR(H31/E31,"n/a")</f>
        <v>n/a</v>
      </c>
      <c r="K31" s="23">
        <f>IFERROR(H31/G31,"n/a")</f>
        <v>1</v>
      </c>
      <c r="L31" s="416" t="s">
        <v>207</v>
      </c>
    </row>
    <row r="32" spans="2:12" ht="31.95" customHeight="1" thickBot="1" x14ac:dyDescent="0.35">
      <c r="B32" s="11"/>
      <c r="C32" s="47" t="s">
        <v>185</v>
      </c>
      <c r="D32" s="314">
        <f>SUM(D5:D31)</f>
        <v>26800</v>
      </c>
      <c r="E32" s="314">
        <f>SUM(E5:E31)</f>
        <v>44203</v>
      </c>
      <c r="F32" s="314">
        <f>SUM(F5:F31)</f>
        <v>9469</v>
      </c>
      <c r="G32" s="363">
        <f>SUM(G5:G31)</f>
        <v>62281.700000000004</v>
      </c>
      <c r="H32" s="377">
        <f>SUM(H5:H31)</f>
        <v>41076.199999999997</v>
      </c>
      <c r="I32" s="318">
        <f>IFERROR(G32/E32,"n/a")</f>
        <v>1.4089926023120605</v>
      </c>
      <c r="J32" s="318">
        <f>IFERROR(H32/E32,"n/a")</f>
        <v>0.92926271972490548</v>
      </c>
      <c r="K32" s="318">
        <f>IFERROR(H32/G32,"n/a")</f>
        <v>0.65952278117007068</v>
      </c>
      <c r="L32" s="509"/>
    </row>
    <row r="33" spans="2:12" ht="15.6" customHeight="1" x14ac:dyDescent="0.3">
      <c r="B33" s="263"/>
      <c r="C33" s="45"/>
      <c r="D33" s="16"/>
      <c r="E33" s="73"/>
      <c r="F33" s="73"/>
      <c r="G33" s="364"/>
      <c r="H33" s="305"/>
      <c r="I33" s="87"/>
      <c r="J33" s="87"/>
      <c r="K33" s="87"/>
      <c r="L33" s="510"/>
    </row>
    <row r="34" spans="2:12" ht="27" x14ac:dyDescent="0.3">
      <c r="B34" s="263">
        <v>4210</v>
      </c>
      <c r="C34" s="45" t="s">
        <v>83</v>
      </c>
      <c r="D34" s="16">
        <v>-1105</v>
      </c>
      <c r="E34" s="73">
        <v>47697</v>
      </c>
      <c r="F34" s="73">
        <v>47635</v>
      </c>
      <c r="G34" s="360">
        <v>102884</v>
      </c>
      <c r="H34" s="305">
        <v>0</v>
      </c>
      <c r="I34" s="87">
        <f>IFERROR(G34/E34,"n/a")</f>
        <v>2.1570329370819969</v>
      </c>
      <c r="J34" s="87">
        <f>IFERROR(H34/E34,"n/a")</f>
        <v>0</v>
      </c>
      <c r="K34" s="87">
        <f>IFERROR(H34/G34,"n/a")</f>
        <v>0</v>
      </c>
      <c r="L34" s="416" t="s">
        <v>246</v>
      </c>
    </row>
    <row r="35" spans="2:12" x14ac:dyDescent="0.3">
      <c r="B35" s="272"/>
      <c r="C35" s="125"/>
      <c r="D35" s="16"/>
      <c r="E35" s="73"/>
      <c r="F35" s="73"/>
      <c r="G35" s="364"/>
      <c r="H35" s="305"/>
      <c r="I35" s="87"/>
      <c r="J35" s="87"/>
      <c r="K35" s="87"/>
      <c r="L35" s="510"/>
    </row>
    <row r="36" spans="2:12" ht="27" x14ac:dyDescent="0.3">
      <c r="B36" s="272">
        <v>4301</v>
      </c>
      <c r="C36" s="125" t="s">
        <v>84</v>
      </c>
      <c r="D36" s="16"/>
      <c r="E36" s="73">
        <v>1000</v>
      </c>
      <c r="F36" s="73">
        <v>0</v>
      </c>
      <c r="G36" s="361">
        <v>1000</v>
      </c>
      <c r="H36" s="305">
        <v>0</v>
      </c>
      <c r="I36" s="87">
        <f>IFERROR(G36/E36,"n/a")</f>
        <v>1</v>
      </c>
      <c r="J36" s="87">
        <f>IFERROR(H36/E36,"n/a")</f>
        <v>0</v>
      </c>
      <c r="K36" s="87">
        <f>IFERROR(H36/G36,"n/a")</f>
        <v>0</v>
      </c>
      <c r="L36" s="416" t="s">
        <v>208</v>
      </c>
    </row>
    <row r="37" spans="2:12" x14ac:dyDescent="0.3">
      <c r="B37" s="263"/>
      <c r="C37" s="45"/>
      <c r="D37" s="16"/>
      <c r="E37" s="73"/>
      <c r="F37" s="73"/>
      <c r="G37" s="364"/>
      <c r="H37" s="305"/>
      <c r="I37" s="87"/>
      <c r="J37" s="87"/>
      <c r="K37" s="87"/>
      <c r="L37" s="510"/>
    </row>
    <row r="38" spans="2:12" ht="53.4" x14ac:dyDescent="0.3">
      <c r="B38" s="272">
        <v>4306</v>
      </c>
      <c r="C38" s="125" t="s">
        <v>93</v>
      </c>
      <c r="D38" s="16">
        <v>0</v>
      </c>
      <c r="E38" s="265">
        <v>50000</v>
      </c>
      <c r="F38" s="265">
        <v>0</v>
      </c>
      <c r="G38" s="364">
        <v>0</v>
      </c>
      <c r="H38" s="305">
        <v>0</v>
      </c>
      <c r="I38" s="87">
        <f>IFERROR(G38/E38,"n/a")</f>
        <v>0</v>
      </c>
      <c r="J38" s="87">
        <f>IFERROR(H38/E38,"n/a")</f>
        <v>0</v>
      </c>
      <c r="K38" s="87" t="str">
        <f>IFERROR(H38/G38,"n/a")</f>
        <v>n/a</v>
      </c>
      <c r="L38" s="416" t="s">
        <v>209</v>
      </c>
    </row>
    <row r="39" spans="2:12" x14ac:dyDescent="0.3">
      <c r="B39" s="272"/>
      <c r="C39" s="125"/>
      <c r="D39" s="16"/>
      <c r="E39" s="265"/>
      <c r="F39" s="265"/>
      <c r="G39" s="364"/>
      <c r="H39" s="305"/>
      <c r="I39" s="87"/>
      <c r="J39" s="87"/>
      <c r="K39" s="87"/>
      <c r="L39" s="505"/>
    </row>
    <row r="40" spans="2:12" x14ac:dyDescent="0.3">
      <c r="B40" s="272"/>
      <c r="C40" s="125"/>
      <c r="D40" s="16"/>
      <c r="E40" s="73"/>
      <c r="F40" s="73"/>
      <c r="G40" s="364"/>
      <c r="H40" s="305"/>
      <c r="I40" s="87"/>
      <c r="J40" s="87"/>
      <c r="K40" s="87"/>
      <c r="L40" s="505"/>
    </row>
    <row r="41" spans="2:12" s="164" customFormat="1" ht="41.4" customHeight="1" x14ac:dyDescent="0.3">
      <c r="B41" s="263">
        <v>4352</v>
      </c>
      <c r="C41" s="45" t="s">
        <v>73</v>
      </c>
      <c r="D41" s="16">
        <v>0</v>
      </c>
      <c r="E41" s="73">
        <v>12727</v>
      </c>
      <c r="F41" s="73">
        <v>0</v>
      </c>
      <c r="G41" s="349">
        <v>0</v>
      </c>
      <c r="H41" s="108">
        <v>0</v>
      </c>
      <c r="I41" s="87">
        <f>IFERROR(G41/E41,"n/a")</f>
        <v>0</v>
      </c>
      <c r="J41" s="87">
        <f>IFERROR(H41/E41,"n/a")</f>
        <v>0</v>
      </c>
      <c r="K41" s="87" t="str">
        <f>IFERROR(H41/G41,"n/a")</f>
        <v>n/a</v>
      </c>
      <c r="L41" s="416" t="s">
        <v>288</v>
      </c>
    </row>
    <row r="42" spans="2:12" s="164" customFormat="1" ht="18.600000000000001" customHeight="1" x14ac:dyDescent="0.3">
      <c r="B42" s="263"/>
      <c r="C42" s="45"/>
      <c r="D42" s="16"/>
      <c r="E42" s="73"/>
      <c r="F42" s="73"/>
      <c r="G42" s="349"/>
      <c r="H42" s="108"/>
      <c r="I42" s="87"/>
      <c r="J42" s="87"/>
      <c r="K42" s="87"/>
      <c r="L42" s="416"/>
    </row>
    <row r="43" spans="2:12" x14ac:dyDescent="0.3">
      <c r="B43" s="263">
        <v>4930</v>
      </c>
      <c r="C43" s="45" t="s">
        <v>80</v>
      </c>
      <c r="D43" s="16">
        <v>18490</v>
      </c>
      <c r="E43" s="73">
        <v>55000</v>
      </c>
      <c r="F43" s="73">
        <v>250</v>
      </c>
      <c r="G43" s="354">
        <v>21733</v>
      </c>
      <c r="H43" s="108">
        <v>0</v>
      </c>
      <c r="I43" s="87">
        <f>IFERROR(G43/E43,"n/a")</f>
        <v>0.39514545454545452</v>
      </c>
      <c r="J43" s="87">
        <f>IFERROR(H43/E43,"n/a")</f>
        <v>0</v>
      </c>
      <c r="K43" s="87">
        <f>IFERROR(H43/G43,"n/a")</f>
        <v>0</v>
      </c>
      <c r="L43" s="416" t="s">
        <v>287</v>
      </c>
    </row>
    <row r="44" spans="2:12" x14ac:dyDescent="0.3">
      <c r="B44" s="263"/>
      <c r="C44" s="45"/>
      <c r="D44" s="16"/>
      <c r="E44" s="73"/>
      <c r="F44" s="73"/>
      <c r="G44" s="354"/>
      <c r="H44" s="108"/>
      <c r="I44" s="87"/>
      <c r="J44" s="87"/>
      <c r="K44" s="87"/>
      <c r="L44" s="416"/>
    </row>
    <row r="45" spans="2:12" x14ac:dyDescent="0.3">
      <c r="B45" s="263">
        <v>4301</v>
      </c>
      <c r="C45" s="45" t="s">
        <v>232</v>
      </c>
      <c r="D45" s="16">
        <v>0</v>
      </c>
      <c r="E45" s="73">
        <v>1065</v>
      </c>
      <c r="F45" s="73">
        <v>1065</v>
      </c>
      <c r="G45" s="354">
        <v>1065</v>
      </c>
      <c r="H45" s="108">
        <v>0</v>
      </c>
      <c r="I45" s="87">
        <f>IFERROR(G45/E45,"n/a")</f>
        <v>1</v>
      </c>
      <c r="J45" s="87">
        <f>IFERROR(H45/E45,"n/a")</f>
        <v>0</v>
      </c>
      <c r="K45" s="87">
        <f>IFERROR(H45/G45,"n/a")</f>
        <v>0</v>
      </c>
      <c r="L45" s="416" t="s">
        <v>234</v>
      </c>
    </row>
    <row r="46" spans="2:12" x14ac:dyDescent="0.3">
      <c r="B46" s="263"/>
      <c r="C46" s="45"/>
      <c r="D46" s="16"/>
      <c r="E46" s="73"/>
      <c r="F46" s="73"/>
      <c r="G46" s="354"/>
      <c r="H46" s="108"/>
      <c r="I46" s="87"/>
      <c r="J46" s="87"/>
      <c r="K46" s="87"/>
      <c r="L46" s="416"/>
    </row>
    <row r="47" spans="2:12" x14ac:dyDescent="0.3">
      <c r="B47" s="263">
        <v>4301</v>
      </c>
      <c r="C47" s="45" t="s">
        <v>233</v>
      </c>
      <c r="D47" s="16">
        <v>0</v>
      </c>
      <c r="E47" s="73">
        <v>4534</v>
      </c>
      <c r="F47" s="73">
        <v>4534</v>
      </c>
      <c r="G47" s="354">
        <v>4534</v>
      </c>
      <c r="H47" s="108">
        <v>0</v>
      </c>
      <c r="I47" s="87">
        <f>IFERROR(G47/E47,"n/a")</f>
        <v>1</v>
      </c>
      <c r="J47" s="87">
        <f>IFERROR(H47/E47,"n/a")</f>
        <v>0</v>
      </c>
      <c r="K47" s="87">
        <f>IFERROR(H47/G47,"n/a")</f>
        <v>0</v>
      </c>
      <c r="L47" s="416" t="s">
        <v>234</v>
      </c>
    </row>
    <row r="48" spans="2:12" x14ac:dyDescent="0.3">
      <c r="B48" s="263"/>
      <c r="C48" s="45"/>
      <c r="D48" s="16"/>
      <c r="E48" s="73"/>
      <c r="F48" s="73"/>
      <c r="G48" s="354"/>
      <c r="H48" s="108"/>
      <c r="I48" s="87"/>
      <c r="J48" s="87"/>
      <c r="K48" s="87"/>
      <c r="L48" s="416"/>
    </row>
    <row r="49" spans="2:12" x14ac:dyDescent="0.3">
      <c r="B49" s="263">
        <v>4303</v>
      </c>
      <c r="C49" s="48" t="s">
        <v>235</v>
      </c>
      <c r="D49" s="16">
        <v>0</v>
      </c>
      <c r="E49" s="73">
        <v>5684</v>
      </c>
      <c r="F49" s="73">
        <v>5684</v>
      </c>
      <c r="G49" s="364">
        <v>5684</v>
      </c>
      <c r="H49" s="305">
        <v>0</v>
      </c>
      <c r="I49" s="87">
        <f>IFERROR(G49/E49,"n/a")</f>
        <v>1</v>
      </c>
      <c r="J49" s="87">
        <f>IFERROR(H49/E49,"n/a")</f>
        <v>0</v>
      </c>
      <c r="K49" s="87">
        <f>IFERROR(H49/G49,"n/a")</f>
        <v>0</v>
      </c>
      <c r="L49" s="416" t="s">
        <v>234</v>
      </c>
    </row>
    <row r="50" spans="2:12" x14ac:dyDescent="0.3">
      <c r="B50" s="263"/>
      <c r="C50" s="102"/>
      <c r="D50" s="16"/>
      <c r="E50" s="73"/>
      <c r="F50" s="73"/>
      <c r="G50" s="364"/>
      <c r="H50" s="305"/>
      <c r="I50" s="87"/>
      <c r="J50" s="87"/>
      <c r="K50" s="87"/>
      <c r="L50" s="416"/>
    </row>
    <row r="51" spans="2:12" x14ac:dyDescent="0.3">
      <c r="B51" s="263" t="s">
        <v>250</v>
      </c>
      <c r="C51" s="102"/>
      <c r="D51" s="16"/>
      <c r="E51" s="73"/>
      <c r="F51" s="73"/>
      <c r="G51" s="364"/>
      <c r="H51" s="305"/>
      <c r="I51" s="87"/>
      <c r="J51" s="87"/>
      <c r="K51" s="87"/>
      <c r="L51" s="416"/>
    </row>
    <row r="52" spans="2:12" x14ac:dyDescent="0.3">
      <c r="B52" s="266"/>
      <c r="C52" s="267" t="s">
        <v>81</v>
      </c>
      <c r="D52" s="268">
        <f>SUM(D34:D49)</f>
        <v>17385</v>
      </c>
      <c r="E52" s="260">
        <f>SUM(E34:E49)</f>
        <v>177707</v>
      </c>
      <c r="F52" s="260">
        <f>SUM(F34:F49)</f>
        <v>59168</v>
      </c>
      <c r="G52" s="365">
        <f>SUM(G34:G49)</f>
        <v>136900</v>
      </c>
      <c r="H52" s="308">
        <f>SUM(H34:H49)</f>
        <v>0</v>
      </c>
      <c r="I52" s="269">
        <f>IFERROR(G52/E52,"n/a")</f>
        <v>0.77036920323903957</v>
      </c>
      <c r="J52" s="269">
        <f>IFERROR(H52/E52,"n/a")</f>
        <v>0</v>
      </c>
      <c r="K52" s="269">
        <f>IFERROR(H52/G52,"n/a")</f>
        <v>0</v>
      </c>
      <c r="L52" s="433"/>
    </row>
    <row r="53" spans="2:12" x14ac:dyDescent="0.3">
      <c r="B53" s="273"/>
      <c r="C53" s="125"/>
      <c r="D53" s="16"/>
      <c r="E53" s="73"/>
      <c r="F53" s="73"/>
      <c r="G53" s="364"/>
      <c r="H53" s="305"/>
      <c r="I53" s="87"/>
      <c r="J53" s="319"/>
      <c r="K53" s="319"/>
      <c r="L53" s="408"/>
    </row>
    <row r="54" spans="2:12" ht="16.2" thickBot="1" x14ac:dyDescent="0.35">
      <c r="B54" s="270"/>
      <c r="C54" s="54" t="s">
        <v>183</v>
      </c>
      <c r="D54" s="18">
        <f>D32+D52</f>
        <v>44185</v>
      </c>
      <c r="E54" s="18">
        <f>E32+E52</f>
        <v>221910</v>
      </c>
      <c r="F54" s="18">
        <f>F32+F52</f>
        <v>68637</v>
      </c>
      <c r="G54" s="366">
        <f>G32+G52</f>
        <v>199181.7</v>
      </c>
      <c r="H54" s="309">
        <f>H32+H52</f>
        <v>41076.199999999997</v>
      </c>
      <c r="I54" s="121">
        <f>IFERROR(G54/E54,"n/a")</f>
        <v>0.89757874814113836</v>
      </c>
      <c r="J54" s="121">
        <f>IFERROR(H54/E54,"n/a")</f>
        <v>0.18510296967238971</v>
      </c>
      <c r="K54" s="121">
        <f>IFERROR(H54/G54,"n/a")</f>
        <v>0.2062247686408942</v>
      </c>
      <c r="L54" s="434"/>
    </row>
    <row r="55" spans="2:12" x14ac:dyDescent="0.3">
      <c r="L55" s="185"/>
    </row>
    <row r="56" spans="2:12" x14ac:dyDescent="0.3">
      <c r="H56" s="285"/>
      <c r="L56" s="185"/>
    </row>
    <row r="57" spans="2:12" x14ac:dyDescent="0.3">
      <c r="L57" s="185"/>
    </row>
    <row r="58" spans="2:12" x14ac:dyDescent="0.3">
      <c r="G58" s="566">
        <f>G52-F52</f>
        <v>77732</v>
      </c>
      <c r="L58" s="185"/>
    </row>
  </sheetData>
  <phoneticPr fontId="13" type="noConversion"/>
  <pageMargins left="0.75000000000000011" right="0.75000000000000011" top="1" bottom="1" header="0.5" footer="0.5"/>
  <pageSetup paperSize="9" scale="42"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6"/>
  <sheetViews>
    <sheetView workbookViewId="0">
      <selection activeCell="L13" sqref="L13"/>
    </sheetView>
  </sheetViews>
  <sheetFormatPr defaultColWidth="11.19921875" defaultRowHeight="15.6" x14ac:dyDescent="0.3"/>
  <cols>
    <col min="1" max="1" width="4.19921875" customWidth="1"/>
    <col min="2" max="2" width="10.69921875" customWidth="1"/>
    <col min="3" max="3" width="35" customWidth="1"/>
    <col min="4" max="11" width="13.5" customWidth="1"/>
    <col min="12" max="12" width="61.5" customWidth="1"/>
  </cols>
  <sheetData>
    <row r="1" spans="1:12" ht="16.2" thickBot="1" x14ac:dyDescent="0.35"/>
    <row r="2" spans="1:12" ht="21" x14ac:dyDescent="0.3">
      <c r="B2" s="517" t="s">
        <v>193</v>
      </c>
      <c r="C2" s="518"/>
      <c r="D2" s="519"/>
      <c r="E2" s="520"/>
      <c r="F2" s="520"/>
      <c r="G2" s="521"/>
      <c r="H2" s="522"/>
      <c r="I2" s="522"/>
      <c r="J2" s="522"/>
      <c r="K2" s="522"/>
      <c r="L2" s="523"/>
    </row>
    <row r="3" spans="1:12" ht="21" x14ac:dyDescent="0.3">
      <c r="B3" s="524" t="s">
        <v>181</v>
      </c>
      <c r="C3" s="525"/>
      <c r="D3" s="526"/>
      <c r="E3" s="527"/>
      <c r="F3" s="527"/>
      <c r="G3" s="528"/>
      <c r="H3" s="529"/>
      <c r="I3" s="530"/>
      <c r="J3" s="530"/>
      <c r="K3" s="530"/>
      <c r="L3" s="531"/>
    </row>
    <row r="4" spans="1:12" ht="63" thickBot="1" x14ac:dyDescent="0.35">
      <c r="A4" s="576"/>
      <c r="B4" s="473" t="s">
        <v>23</v>
      </c>
      <c r="C4" s="491" t="s">
        <v>24</v>
      </c>
      <c r="D4" s="473" t="s">
        <v>186</v>
      </c>
      <c r="E4" s="473" t="s">
        <v>131</v>
      </c>
      <c r="F4" s="473" t="s">
        <v>227</v>
      </c>
      <c r="G4" s="475" t="s">
        <v>187</v>
      </c>
      <c r="H4" s="475" t="s">
        <v>188</v>
      </c>
      <c r="I4" s="474" t="s">
        <v>189</v>
      </c>
      <c r="J4" s="473" t="s">
        <v>190</v>
      </c>
      <c r="K4" s="473" t="s">
        <v>191</v>
      </c>
      <c r="L4" s="476" t="s">
        <v>192</v>
      </c>
    </row>
    <row r="5" spans="1:12" x14ac:dyDescent="0.3">
      <c r="B5" s="19"/>
      <c r="C5" s="44"/>
      <c r="D5" s="2"/>
      <c r="E5" s="3"/>
      <c r="F5" s="3"/>
      <c r="G5" s="109"/>
      <c r="H5" s="108"/>
      <c r="I5" s="23"/>
      <c r="J5" s="23"/>
      <c r="K5" s="23"/>
      <c r="L5" s="101"/>
    </row>
    <row r="6" spans="1:12" x14ac:dyDescent="0.3">
      <c r="B6" s="25">
        <v>4350</v>
      </c>
      <c r="C6" s="44" t="s">
        <v>13</v>
      </c>
      <c r="D6" s="3">
        <v>-100</v>
      </c>
      <c r="E6" s="3">
        <v>1750</v>
      </c>
      <c r="F6" s="3">
        <v>0</v>
      </c>
      <c r="G6" s="109">
        <v>0</v>
      </c>
      <c r="H6" s="323">
        <v>0</v>
      </c>
      <c r="I6" s="23">
        <f>IFERROR(G6/E6,"n/a")</f>
        <v>0</v>
      </c>
      <c r="J6" s="23">
        <f>IFERROR(H6/E6,"n/a")</f>
        <v>0</v>
      </c>
      <c r="K6" s="23" t="str">
        <f>IFERROR(H6/G6,"n/a")</f>
        <v>n/a</v>
      </c>
      <c r="L6" s="411"/>
    </row>
    <row r="7" spans="1:12" x14ac:dyDescent="0.3">
      <c r="B7" s="12"/>
      <c r="C7" s="44"/>
      <c r="D7" s="2"/>
      <c r="E7" s="3"/>
      <c r="F7" s="3"/>
      <c r="G7" s="109"/>
      <c r="H7" s="108"/>
      <c r="I7" s="23"/>
      <c r="J7" s="23"/>
      <c r="K7" s="23"/>
      <c r="L7" s="412"/>
    </row>
    <row r="8" spans="1:12" s="513" customFormat="1" x14ac:dyDescent="0.3">
      <c r="B8" s="514">
        <v>4351</v>
      </c>
      <c r="C8" s="511" t="s">
        <v>72</v>
      </c>
      <c r="D8" s="515">
        <v>0</v>
      </c>
      <c r="E8" s="515">
        <v>0</v>
      </c>
      <c r="F8" s="515">
        <v>0</v>
      </c>
      <c r="G8" s="515"/>
      <c r="H8" s="515"/>
      <c r="I8" s="516"/>
      <c r="J8" s="516"/>
      <c r="K8" s="516"/>
      <c r="L8" s="512"/>
    </row>
    <row r="9" spans="1:12" x14ac:dyDescent="0.3">
      <c r="B9" s="12">
        <v>4355</v>
      </c>
      <c r="C9" s="44" t="s">
        <v>117</v>
      </c>
      <c r="D9" s="3">
        <v>500</v>
      </c>
      <c r="E9" s="10">
        <v>4000</v>
      </c>
      <c r="F9" s="10">
        <v>6439</v>
      </c>
      <c r="G9" s="109">
        <v>7000</v>
      </c>
      <c r="H9" s="108">
        <v>1000</v>
      </c>
      <c r="I9" s="23">
        <f>IFERROR(G9/E9,"n/a")</f>
        <v>1.75</v>
      </c>
      <c r="J9" s="23">
        <f>IFERROR(H9/E9,"n/a")</f>
        <v>0.25</v>
      </c>
      <c r="K9" s="23">
        <f>IFERROR(H9/G9,"n/a")</f>
        <v>0.14285714285714285</v>
      </c>
      <c r="L9" s="408" t="s">
        <v>283</v>
      </c>
    </row>
    <row r="10" spans="1:12" ht="27" x14ac:dyDescent="0.3">
      <c r="B10" s="21" t="s">
        <v>237</v>
      </c>
      <c r="C10" s="44" t="s">
        <v>238</v>
      </c>
      <c r="D10" s="3"/>
      <c r="E10" s="3"/>
      <c r="F10" s="3"/>
      <c r="G10" s="109"/>
      <c r="H10" s="108">
        <v>20000</v>
      </c>
      <c r="I10" s="23"/>
      <c r="J10" s="23"/>
      <c r="K10" s="516"/>
      <c r="L10" s="416" t="s">
        <v>239</v>
      </c>
    </row>
    <row r="11" spans="1:12" ht="31.8" thickBot="1" x14ac:dyDescent="0.35">
      <c r="B11" s="22"/>
      <c r="C11" s="57" t="s">
        <v>182</v>
      </c>
      <c r="D11" s="18">
        <f>D6+D9</f>
        <v>400</v>
      </c>
      <c r="E11" s="18">
        <f>E6+E9</f>
        <v>5750</v>
      </c>
      <c r="F11" s="18">
        <f>F6+F9</f>
        <v>6439</v>
      </c>
      <c r="G11" s="18">
        <f>G6+G9</f>
        <v>7000</v>
      </c>
      <c r="H11" s="18">
        <f>SUM(H6:H10)</f>
        <v>21000</v>
      </c>
      <c r="I11" s="24">
        <f>IFERROR(G11/E11,"n/a")</f>
        <v>1.2173913043478262</v>
      </c>
      <c r="J11" s="24">
        <f>IFERROR(H11/E11,"n/a")</f>
        <v>3.652173913043478</v>
      </c>
      <c r="K11" s="329">
        <f>IFERROR(H11/G11,"n/a")</f>
        <v>3</v>
      </c>
      <c r="L11" s="432"/>
    </row>
    <row r="12" spans="1:12" ht="15.6" customHeight="1" x14ac:dyDescent="0.3">
      <c r="B12" s="263"/>
      <c r="C12" s="45"/>
      <c r="D12" s="16"/>
      <c r="E12" s="73"/>
      <c r="F12" s="73"/>
      <c r="G12" s="349"/>
      <c r="H12" s="108"/>
      <c r="I12" s="87"/>
      <c r="J12" s="87"/>
      <c r="K12" s="87"/>
      <c r="L12" s="408"/>
    </row>
    <row r="13" spans="1:12" x14ac:dyDescent="0.3">
      <c r="B13" s="263">
        <v>4721</v>
      </c>
      <c r="C13" s="45" t="s">
        <v>91</v>
      </c>
      <c r="D13" s="16">
        <v>2166</v>
      </c>
      <c r="E13" s="73">
        <v>25000</v>
      </c>
      <c r="F13" s="73">
        <v>690</v>
      </c>
      <c r="G13" s="349">
        <v>10690</v>
      </c>
      <c r="H13" s="94">
        <v>14235</v>
      </c>
      <c r="I13" s="87">
        <f>IFERROR(G13/E13,"n/a")</f>
        <v>0.42759999999999998</v>
      </c>
      <c r="J13" s="87">
        <f>IFERROR(H13/E13,"n/a")</f>
        <v>0.56940000000000002</v>
      </c>
      <c r="K13" s="87">
        <f>IFERROR(H13/G13,"n/a")</f>
        <v>1.3316183348924229</v>
      </c>
      <c r="L13" s="416" t="s">
        <v>289</v>
      </c>
    </row>
    <row r="14" spans="1:12" x14ac:dyDescent="0.3">
      <c r="B14" s="272"/>
      <c r="C14" s="125"/>
      <c r="D14" s="16"/>
      <c r="E14" s="73"/>
      <c r="F14" s="73"/>
      <c r="G14" s="349"/>
      <c r="H14" s="108"/>
      <c r="I14" s="87"/>
      <c r="J14" s="87"/>
      <c r="K14" s="87"/>
      <c r="L14" s="408"/>
    </row>
    <row r="15" spans="1:12" x14ac:dyDescent="0.3">
      <c r="B15" s="266"/>
      <c r="C15" s="267" t="s">
        <v>81</v>
      </c>
      <c r="D15" s="268">
        <f>SUM(D12:D14)</f>
        <v>2166</v>
      </c>
      <c r="E15" s="260">
        <f>SUM(E12:E14)</f>
        <v>25000</v>
      </c>
      <c r="F15" s="260">
        <f>SUM(F12:F14)</f>
        <v>690</v>
      </c>
      <c r="G15" s="350">
        <f>SUM(G12:G14)</f>
        <v>10690</v>
      </c>
      <c r="H15" s="325">
        <f>SUM(H12:H14)</f>
        <v>14235</v>
      </c>
      <c r="I15" s="269">
        <f t="shared" ref="I15" si="0">IFERROR(G15/E15,"n/a")</f>
        <v>0.42759999999999998</v>
      </c>
      <c r="J15" s="269">
        <f t="shared" ref="J15" si="1">IFERROR(H15/E15,"n/a")</f>
        <v>0.56940000000000002</v>
      </c>
      <c r="K15" s="269">
        <f>IFERROR(H15/G15,"n/a")</f>
        <v>1.3316183348924229</v>
      </c>
      <c r="L15" s="433"/>
    </row>
    <row r="16" spans="1:12" x14ac:dyDescent="0.3">
      <c r="B16" s="273"/>
      <c r="C16" s="125"/>
      <c r="D16" s="16"/>
      <c r="E16" s="73"/>
      <c r="F16" s="73"/>
      <c r="G16" s="349"/>
      <c r="H16" s="108"/>
      <c r="I16" s="87"/>
      <c r="J16" s="319"/>
      <c r="K16" s="319"/>
      <c r="L16" s="408"/>
    </row>
    <row r="17" spans="2:12" ht="16.2" thickBot="1" x14ac:dyDescent="0.35">
      <c r="B17" s="270"/>
      <c r="C17" s="54" t="s">
        <v>184</v>
      </c>
      <c r="D17" s="18">
        <f>D11+D15</f>
        <v>2566</v>
      </c>
      <c r="E17" s="18">
        <f>E11+E15</f>
        <v>30750</v>
      </c>
      <c r="F17" s="18">
        <f>F11+F15</f>
        <v>7129</v>
      </c>
      <c r="G17" s="351">
        <f>G11+G15</f>
        <v>17690</v>
      </c>
      <c r="H17" s="326">
        <f>H11+H15</f>
        <v>35235</v>
      </c>
      <c r="I17" s="121">
        <f>IFERROR(G17/E17,"n/a")</f>
        <v>0.57528455284552849</v>
      </c>
      <c r="J17" s="121">
        <f>IFERROR(H17/E17,"n/a")</f>
        <v>1.1458536585365853</v>
      </c>
      <c r="K17" s="121">
        <f>IFERROR(H17/G17,"n/a")</f>
        <v>1.9918032786885247</v>
      </c>
      <c r="L17" s="434"/>
    </row>
    <row r="18" spans="2:12" x14ac:dyDescent="0.3">
      <c r="C18" s="56"/>
      <c r="L18" s="56"/>
    </row>
    <row r="19" spans="2:12" x14ac:dyDescent="0.3">
      <c r="L19" s="56"/>
    </row>
    <row r="20" spans="2:12" x14ac:dyDescent="0.3">
      <c r="L20" s="56"/>
    </row>
    <row r="21" spans="2:12" x14ac:dyDescent="0.3">
      <c r="G21" s="38">
        <f>G13-F13</f>
        <v>10000</v>
      </c>
      <c r="L21" s="56"/>
    </row>
    <row r="22" spans="2:12" x14ac:dyDescent="0.3">
      <c r="L22" s="56"/>
    </row>
    <row r="23" spans="2:12" x14ac:dyDescent="0.3">
      <c r="L23" s="56"/>
    </row>
    <row r="24" spans="2:12" x14ac:dyDescent="0.3">
      <c r="L24" s="56"/>
    </row>
    <row r="25" spans="2:12" x14ac:dyDescent="0.3">
      <c r="L25" s="56"/>
    </row>
    <row r="26" spans="2:12" x14ac:dyDescent="0.3">
      <c r="L26" s="56"/>
    </row>
  </sheetData>
  <phoneticPr fontId="13" type="noConversion"/>
  <pageMargins left="0.75000000000000011" right="0.75000000000000011" top="1" bottom="1" header="0.5" footer="0.5"/>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B923-609F-4677-914D-59FD6CAD4964}">
  <dimension ref="A2:N32"/>
  <sheetViews>
    <sheetView tabSelected="1" workbookViewId="0">
      <selection activeCell="H27" sqref="H27"/>
    </sheetView>
  </sheetViews>
  <sheetFormatPr defaultRowHeight="15.6" x14ac:dyDescent="0.3"/>
  <cols>
    <col min="1" max="1" width="11.19921875" customWidth="1"/>
    <col min="2" max="2" width="11.69921875" customWidth="1"/>
    <col min="3" max="3" width="12.8984375" customWidth="1"/>
    <col min="4" max="4" width="12.69921875" customWidth="1"/>
    <col min="5" max="5" width="10.8984375" customWidth="1"/>
    <col min="6" max="6" width="19.8984375" customWidth="1"/>
    <col min="7" max="7" width="11" customWidth="1"/>
    <col min="8" max="8" width="13.69921875" customWidth="1"/>
    <col min="9" max="10" width="11" customWidth="1"/>
    <col min="11" max="11" width="10.19921875" customWidth="1"/>
    <col min="12" max="12" width="12.19921875" customWidth="1"/>
    <col min="13" max="13" width="12.5" customWidth="1"/>
    <col min="14" max="14" width="12.09765625" customWidth="1"/>
  </cols>
  <sheetData>
    <row r="2" spans="1:14" ht="21" x14ac:dyDescent="0.3">
      <c r="A2" s="172" t="s">
        <v>123</v>
      </c>
      <c r="B2" s="133"/>
      <c r="C2" s="133"/>
      <c r="D2" s="133"/>
      <c r="E2" s="133"/>
      <c r="F2" s="133"/>
      <c r="G2" s="133"/>
      <c r="H2" s="133"/>
      <c r="I2" s="133"/>
      <c r="J2" s="133"/>
    </row>
    <row r="3" spans="1:14" ht="21.6" thickBot="1" x14ac:dyDescent="0.35">
      <c r="A3" s="133"/>
      <c r="B3" s="133"/>
      <c r="C3" s="133"/>
      <c r="D3" s="133"/>
      <c r="E3" s="133"/>
      <c r="F3" s="133"/>
      <c r="G3" s="133"/>
      <c r="H3" s="133"/>
      <c r="I3" s="133"/>
      <c r="J3" s="133"/>
    </row>
    <row r="4" spans="1:14" ht="125.4" thickBot="1" x14ac:dyDescent="0.35">
      <c r="A4" s="203" t="s">
        <v>98</v>
      </c>
      <c r="B4" s="204" t="s">
        <v>108</v>
      </c>
      <c r="C4" s="205" t="s">
        <v>107</v>
      </c>
      <c r="D4" s="206" t="s">
        <v>99</v>
      </c>
      <c r="E4" s="206" t="s">
        <v>100</v>
      </c>
      <c r="F4" s="206" t="s">
        <v>101</v>
      </c>
      <c r="G4" s="207" t="s">
        <v>102</v>
      </c>
      <c r="H4" s="206" t="s">
        <v>103</v>
      </c>
      <c r="I4" s="206" t="s">
        <v>132</v>
      </c>
      <c r="J4" s="341" t="s">
        <v>145</v>
      </c>
      <c r="K4" s="206" t="s">
        <v>104</v>
      </c>
      <c r="L4" s="206" t="s">
        <v>144</v>
      </c>
      <c r="M4" s="204" t="s">
        <v>109</v>
      </c>
      <c r="N4" s="205" t="s">
        <v>168</v>
      </c>
    </row>
    <row r="5" spans="1:14" x14ac:dyDescent="0.3">
      <c r="A5" s="134"/>
      <c r="B5" s="187"/>
      <c r="C5" s="157"/>
      <c r="D5" s="135"/>
      <c r="E5" s="136"/>
      <c r="F5" s="137"/>
      <c r="G5" s="138"/>
      <c r="H5" s="428"/>
      <c r="I5" s="170"/>
      <c r="J5" s="170"/>
      <c r="K5" s="139"/>
      <c r="L5" s="339"/>
      <c r="M5" s="158"/>
      <c r="N5" s="157"/>
    </row>
    <row r="6" spans="1:14" ht="75" customHeight="1" x14ac:dyDescent="0.3">
      <c r="A6" s="141" t="s">
        <v>217</v>
      </c>
      <c r="B6" s="187">
        <v>10397.700000000001</v>
      </c>
      <c r="C6" s="157"/>
      <c r="D6" s="405">
        <v>11074.21</v>
      </c>
      <c r="E6" s="404">
        <v>45748</v>
      </c>
      <c r="F6" s="421" t="s">
        <v>218</v>
      </c>
      <c r="G6" s="569" t="s">
        <v>220</v>
      </c>
      <c r="H6" s="429" t="s">
        <v>219</v>
      </c>
      <c r="I6" s="189">
        <v>22500</v>
      </c>
      <c r="J6" s="343"/>
      <c r="K6" s="539">
        <v>2453</v>
      </c>
      <c r="L6" s="343">
        <v>21733.33</v>
      </c>
      <c r="M6" s="195"/>
      <c r="N6" s="157"/>
    </row>
    <row r="7" spans="1:14" ht="42.6" customHeight="1" x14ac:dyDescent="0.3">
      <c r="A7" s="141"/>
      <c r="B7" s="187"/>
      <c r="C7" s="157"/>
      <c r="D7" s="405">
        <v>16261.12</v>
      </c>
      <c r="E7" s="404">
        <v>45748</v>
      </c>
      <c r="F7" s="421" t="s">
        <v>143</v>
      </c>
      <c r="G7" s="188"/>
      <c r="H7" s="430"/>
      <c r="I7" s="189"/>
      <c r="J7" s="343"/>
      <c r="K7" s="422"/>
      <c r="L7" s="282"/>
      <c r="M7" s="194"/>
      <c r="N7" s="157"/>
    </row>
    <row r="8" spans="1:14" ht="67.95" customHeight="1" thickBot="1" x14ac:dyDescent="0.35">
      <c r="A8" s="141"/>
      <c r="B8" s="187"/>
      <c r="C8" s="157"/>
      <c r="D8" s="550">
        <v>11074.21</v>
      </c>
      <c r="E8" s="208">
        <v>45931</v>
      </c>
      <c r="F8" s="419" t="s">
        <v>260</v>
      </c>
      <c r="G8" s="188"/>
      <c r="H8" s="430" t="s">
        <v>261</v>
      </c>
      <c r="I8" s="189">
        <v>250</v>
      </c>
      <c r="J8" s="343"/>
      <c r="K8" s="539">
        <v>2386</v>
      </c>
      <c r="L8" s="282">
        <v>250</v>
      </c>
      <c r="M8" s="194"/>
      <c r="N8" s="157"/>
    </row>
    <row r="9" spans="1:14" ht="72" customHeight="1" x14ac:dyDescent="0.3">
      <c r="A9" s="378"/>
      <c r="B9" s="187"/>
      <c r="C9" s="157"/>
      <c r="D9" s="136">
        <v>13938.1</v>
      </c>
      <c r="E9" s="208">
        <v>45931</v>
      </c>
      <c r="F9" s="420" t="s">
        <v>143</v>
      </c>
      <c r="G9" s="188"/>
      <c r="H9" s="430"/>
      <c r="I9" s="189"/>
      <c r="J9" s="343"/>
      <c r="K9" s="422"/>
      <c r="L9" s="282"/>
      <c r="M9" s="194"/>
      <c r="N9" s="157"/>
    </row>
    <row r="10" spans="1:14" ht="71.400000000000006" customHeight="1" thickBot="1" x14ac:dyDescent="0.35">
      <c r="A10" s="379"/>
      <c r="B10" s="187"/>
      <c r="C10" s="157"/>
      <c r="D10" s="136"/>
      <c r="E10" s="208"/>
      <c r="F10" s="420"/>
      <c r="G10" s="188"/>
      <c r="H10" s="430"/>
      <c r="I10" s="189"/>
      <c r="J10" s="343"/>
      <c r="K10" s="422"/>
      <c r="L10" s="282"/>
      <c r="M10" s="194"/>
      <c r="N10" s="157"/>
    </row>
    <row r="11" spans="1:14" x14ac:dyDescent="0.3">
      <c r="B11" s="186"/>
      <c r="C11" s="157"/>
      <c r="D11" s="190"/>
      <c r="E11" s="208"/>
      <c r="F11" s="281"/>
      <c r="G11" s="110"/>
      <c r="H11" s="423"/>
      <c r="I11" s="110"/>
      <c r="J11" s="344"/>
      <c r="K11" s="423"/>
      <c r="L11" s="340"/>
      <c r="M11" s="194"/>
      <c r="N11" s="157"/>
    </row>
    <row r="12" spans="1:14" ht="62.4" x14ac:dyDescent="0.3">
      <c r="A12" s="141"/>
      <c r="B12" s="155"/>
      <c r="C12" s="178"/>
      <c r="D12" s="179" t="s">
        <v>115</v>
      </c>
      <c r="E12" s="142"/>
      <c r="F12" s="171"/>
      <c r="G12" s="342"/>
      <c r="H12" s="429"/>
      <c r="I12" s="189"/>
      <c r="J12" s="343"/>
      <c r="K12" s="424"/>
      <c r="L12" s="169"/>
      <c r="M12" s="159"/>
      <c r="N12" s="157"/>
    </row>
    <row r="13" spans="1:14" x14ac:dyDescent="0.3">
      <c r="A13" s="141"/>
      <c r="B13" s="156">
        <v>0</v>
      </c>
      <c r="C13" s="157"/>
      <c r="D13" s="145"/>
      <c r="E13" s="143"/>
      <c r="F13" s="144"/>
      <c r="G13" s="110"/>
      <c r="H13" s="423"/>
      <c r="I13" s="110"/>
      <c r="J13" s="344"/>
      <c r="K13" s="423"/>
      <c r="L13" s="169"/>
      <c r="M13" s="159"/>
      <c r="N13" s="157"/>
    </row>
    <row r="14" spans="1:14" ht="16.2" thickBot="1" x14ac:dyDescent="0.35">
      <c r="A14" s="210">
        <v>45383</v>
      </c>
      <c r="B14" s="211">
        <f>SUM(B5:B13)</f>
        <v>10397.700000000001</v>
      </c>
      <c r="C14" s="212">
        <v>0</v>
      </c>
      <c r="D14" s="221">
        <f>SUM(D5:D13)</f>
        <v>52347.64</v>
      </c>
      <c r="E14" s="213"/>
      <c r="F14" s="214"/>
      <c r="G14" s="215"/>
      <c r="H14" s="214"/>
      <c r="I14" s="216">
        <f t="shared" ref="I14:L14" si="0">SUM(I5:I13)</f>
        <v>22750</v>
      </c>
      <c r="J14" s="406">
        <f t="shared" si="0"/>
        <v>0</v>
      </c>
      <c r="K14" s="216"/>
      <c r="L14" s="367">
        <f t="shared" si="0"/>
        <v>21983.33</v>
      </c>
      <c r="M14" s="217">
        <f>B14+D14-L14</f>
        <v>40762.009999999995</v>
      </c>
      <c r="N14" s="219">
        <f>B14+D14-J14-L14</f>
        <v>40762.009999999995</v>
      </c>
    </row>
    <row r="15" spans="1:14" x14ac:dyDescent="0.3">
      <c r="A15" s="146"/>
      <c r="B15" s="155"/>
      <c r="C15" s="157"/>
      <c r="D15" s="180" t="s">
        <v>22</v>
      </c>
      <c r="E15" s="136"/>
      <c r="F15" s="147"/>
      <c r="G15" s="137"/>
      <c r="H15" s="428"/>
      <c r="J15" s="229" t="s">
        <v>124</v>
      </c>
      <c r="K15" s="425"/>
      <c r="L15" s="136"/>
      <c r="M15" s="160"/>
      <c r="N15" s="140"/>
    </row>
    <row r="16" spans="1:14" x14ac:dyDescent="0.3">
      <c r="A16" s="148"/>
      <c r="B16" s="155"/>
      <c r="C16" s="157"/>
      <c r="D16" s="173"/>
      <c r="E16" s="174"/>
      <c r="F16" s="175"/>
      <c r="H16" s="426"/>
      <c r="J16" s="403"/>
      <c r="K16" s="426"/>
      <c r="M16" s="161"/>
      <c r="N16" s="140"/>
    </row>
    <row r="17" spans="1:14" ht="41.4" x14ac:dyDescent="0.3">
      <c r="A17" s="152"/>
      <c r="B17" s="155"/>
      <c r="C17" s="157"/>
      <c r="D17" s="405">
        <v>33110.9</v>
      </c>
      <c r="E17" s="404"/>
      <c r="F17" s="421" t="s">
        <v>272</v>
      </c>
      <c r="G17" s="191"/>
      <c r="H17" s="431"/>
      <c r="I17" s="192"/>
      <c r="J17" s="192"/>
      <c r="K17" s="427"/>
      <c r="L17" s="193"/>
      <c r="M17" s="162"/>
      <c r="N17" s="140"/>
    </row>
    <row r="18" spans="1:14" x14ac:dyDescent="0.3">
      <c r="A18" s="148"/>
      <c r="B18" s="155"/>
      <c r="C18" s="157"/>
      <c r="D18" s="405"/>
      <c r="E18" s="404"/>
      <c r="F18" s="421"/>
      <c r="H18" s="420"/>
      <c r="J18" s="403"/>
      <c r="K18" s="426"/>
      <c r="M18" s="163"/>
      <c r="N18" s="140"/>
    </row>
    <row r="19" spans="1:14" ht="41.4" x14ac:dyDescent="0.3">
      <c r="A19" s="153"/>
      <c r="B19" s="155"/>
      <c r="C19" s="157"/>
      <c r="D19" s="190">
        <v>31914.32</v>
      </c>
      <c r="E19" s="279"/>
      <c r="F19" s="421" t="s">
        <v>273</v>
      </c>
      <c r="H19" s="443"/>
      <c r="J19" s="403"/>
      <c r="K19" s="426"/>
      <c r="M19" s="163"/>
      <c r="N19" s="140"/>
    </row>
    <row r="20" spans="1:14" x14ac:dyDescent="0.3">
      <c r="A20" s="153"/>
      <c r="B20" s="155"/>
      <c r="C20" s="157"/>
      <c r="D20" s="190"/>
      <c r="E20" s="208"/>
      <c r="F20" s="209"/>
      <c r="H20" s="420"/>
      <c r="J20" s="403"/>
      <c r="K20" s="426"/>
      <c r="M20" s="163"/>
      <c r="N20" s="140"/>
    </row>
    <row r="21" spans="1:14" ht="27.6" x14ac:dyDescent="0.3">
      <c r="A21" s="153"/>
      <c r="B21" s="155"/>
      <c r="C21" s="157"/>
      <c r="D21" s="190">
        <v>13938.1</v>
      </c>
      <c r="E21" s="150"/>
      <c r="F21" s="568" t="s">
        <v>271</v>
      </c>
      <c r="H21" s="426"/>
      <c r="J21" s="403"/>
      <c r="K21" s="426"/>
      <c r="M21" s="163"/>
      <c r="N21" s="140"/>
    </row>
    <row r="22" spans="1:14" x14ac:dyDescent="0.3">
      <c r="A22" s="153"/>
      <c r="B22" s="155"/>
      <c r="C22" s="157"/>
      <c r="D22" s="149"/>
      <c r="E22" s="150"/>
      <c r="F22" s="568"/>
      <c r="H22" s="426"/>
      <c r="J22" s="403"/>
      <c r="K22" s="426"/>
      <c r="M22" s="163"/>
      <c r="N22" s="140"/>
    </row>
    <row r="23" spans="1:14" ht="55.2" x14ac:dyDescent="0.3">
      <c r="A23" s="152"/>
      <c r="B23" s="155"/>
      <c r="C23" s="157"/>
      <c r="D23" s="190">
        <v>9104.8799999999992</v>
      </c>
      <c r="E23" s="151"/>
      <c r="F23" s="568" t="s">
        <v>274</v>
      </c>
      <c r="G23" s="138"/>
      <c r="H23" s="426"/>
      <c r="J23" s="403"/>
      <c r="K23" s="426"/>
      <c r="M23" s="163"/>
      <c r="N23" s="140"/>
    </row>
    <row r="24" spans="1:14" ht="16.2" thickBot="1" x14ac:dyDescent="0.35">
      <c r="A24" s="196">
        <v>45748</v>
      </c>
      <c r="B24" s="202">
        <f>M14</f>
        <v>40762.009999999995</v>
      </c>
      <c r="C24" s="218">
        <f>N14</f>
        <v>40762.009999999995</v>
      </c>
      <c r="D24" s="280">
        <f>SUM(D16:D23)</f>
        <v>88068.200000000012</v>
      </c>
      <c r="E24" s="197"/>
      <c r="F24" s="198"/>
      <c r="G24" s="199"/>
      <c r="H24" s="199"/>
      <c r="I24" s="197">
        <f>SUM(I15:I23)</f>
        <v>0</v>
      </c>
      <c r="J24" s="444">
        <f>SUM(J16:J23)</f>
        <v>0</v>
      </c>
      <c r="K24" s="197"/>
      <c r="L24" s="197">
        <f>SUM(L15:L23)</f>
        <v>0</v>
      </c>
      <c r="M24" s="200">
        <f>B24+D24-L24</f>
        <v>128830.21</v>
      </c>
      <c r="N24" s="201">
        <f>B24+D24-J24</f>
        <v>128830.21</v>
      </c>
    </row>
    <row r="25" spans="1:14" x14ac:dyDescent="0.3">
      <c r="I25" s="181"/>
      <c r="J25" s="229" t="s">
        <v>124</v>
      </c>
    </row>
    <row r="26" spans="1:14" x14ac:dyDescent="0.3">
      <c r="A26" s="441"/>
    </row>
    <row r="27" spans="1:14" x14ac:dyDescent="0.3">
      <c r="A27" s="177"/>
    </row>
    <row r="28" spans="1:14" x14ac:dyDescent="0.3">
      <c r="A28" s="442"/>
    </row>
    <row r="29" spans="1:14" x14ac:dyDescent="0.3">
      <c r="A29" s="176"/>
    </row>
    <row r="30" spans="1:14" x14ac:dyDescent="0.3">
      <c r="A30" s="449"/>
    </row>
    <row r="32" spans="1:14" x14ac:dyDescent="0.3">
      <c r="A32" s="448"/>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5C84FA3040E7418E53DF000E6CBA75" ma:contentTypeVersion="18" ma:contentTypeDescription="Create a new document." ma:contentTypeScope="" ma:versionID="cc8c84285e3210d1f66b0c489c40af97">
  <xsd:schema xmlns:xsd="http://www.w3.org/2001/XMLSchema" xmlns:xs="http://www.w3.org/2001/XMLSchema" xmlns:p="http://schemas.microsoft.com/office/2006/metadata/properties" xmlns:ns2="13ddb142-86c1-463f-9a12-a992385bda94" xmlns:ns3="e0ea50aa-9a19-4cb4-ba41-57597350199e" targetNamespace="http://schemas.microsoft.com/office/2006/metadata/properties" ma:root="true" ma:fieldsID="018d47f25077b1cacfdf91606134b462" ns2:_="" ns3:_="">
    <xsd:import namespace="13ddb142-86c1-463f-9a12-a992385bda94"/>
    <xsd:import namespace="e0ea50aa-9a19-4cb4-ba41-5759735019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db142-86c1-463f-9a12-a992385bda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919250d-7dcb-4f5e-b444-383715c1c0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ea50aa-9a19-4cb4-ba41-57597350199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9b82454-37fd-4db9-bffb-e75612a8fe8e}" ma:internalName="TaxCatchAll" ma:showField="CatchAllData" ma:web="e0ea50aa-9a19-4cb4-ba41-5759735019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ea50aa-9a19-4cb4-ba41-57597350199e" xsi:nil="true"/>
    <lcf76f155ced4ddcb4097134ff3c332f xmlns="13ddb142-86c1-463f-9a12-a992385bda9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474994-A913-421D-8010-8E0499D1B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ddb142-86c1-463f-9a12-a992385bda94"/>
    <ds:schemaRef ds:uri="e0ea50aa-9a19-4cb4-ba41-575973501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00D664-52B7-45B9-B0D7-A34EA1FCAF72}">
  <ds:schemaRefs>
    <ds:schemaRef ds:uri="http://schemas.microsoft.com/office/2006/documentManagement/types"/>
    <ds:schemaRef ds:uri="http://www.w3.org/XML/1998/namespace"/>
    <ds:schemaRef ds:uri="http://purl.org/dc/terms/"/>
    <ds:schemaRef ds:uri="e0ea50aa-9a19-4cb4-ba41-57597350199e"/>
    <ds:schemaRef ds:uri="http://schemas.openxmlformats.org/package/2006/metadata/core-properties"/>
    <ds:schemaRef ds:uri="http://purl.org/dc/elements/1.1/"/>
    <ds:schemaRef ds:uri="http://schemas.microsoft.com/office/infopath/2007/PartnerControls"/>
    <ds:schemaRef ds:uri="13ddb142-86c1-463f-9a12-a992385bda9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06018E7-BBCE-457A-99CA-B8AD2BC48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Budget Summary</vt:lpstr>
      <vt:lpstr>Reserves</vt:lpstr>
      <vt:lpstr>100 Income</vt:lpstr>
      <vt:lpstr>101 Admin</vt:lpstr>
      <vt:lpstr>105 Community</vt:lpstr>
      <vt:lpstr>106 Estate Managment</vt:lpstr>
      <vt:lpstr>107 Planning and Highways</vt:lpstr>
      <vt:lpstr>CIL</vt:lpstr>
      <vt:lpstr>'100 Income'!Print_Area</vt:lpstr>
      <vt:lpstr>'101 Admin'!Print_Area</vt:lpstr>
      <vt:lpstr>'105 Community'!Print_Area</vt:lpstr>
      <vt:lpstr>'106 Estate Managment'!Print_Area</vt:lpstr>
      <vt:lpstr>'107 Planning and Highways'!Print_Area</vt:lpstr>
      <vt:lpstr>'Budget Summary'!Print_Area</vt:lpstr>
      <vt:lpstr>Reserves!Print_Area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Reade</dc:creator>
  <cp:keywords/>
  <dc:description/>
  <cp:lastModifiedBy>Danielle Davis</cp:lastModifiedBy>
  <cp:revision/>
  <cp:lastPrinted>2025-06-09T14:45:32Z</cp:lastPrinted>
  <dcterms:created xsi:type="dcterms:W3CDTF">2018-08-23T05:15:26Z</dcterms:created>
  <dcterms:modified xsi:type="dcterms:W3CDTF">2025-12-11T16:01:36Z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0x0101009B5C84FA3040E7418E53DF000E6CBA75</vt:lpwstr>
  </property>
  <property fmtid="{D5CDD505-2E9C-101B-9397-08002B2CF9AE}" pid="3" name="MediaServiceImageTags">
    <vt:lpwstr/>
  </property>
</Properties>
</file>