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showInkAnnotation="0" autoCompressPictures="0"/>
  <mc:AlternateContent xmlns:mc="http://schemas.openxmlformats.org/markup-compatibility/2006">
    <mc:Choice Requires="x15">
      <x15ac:absPath xmlns:x15ac="http://schemas.microsoft.com/office/spreadsheetml/2010/11/ac" url="https://stratfieldmortimer.sharepoint.com/sites/ParishOffice/Shared Documents/COMMITTEES - Agendas &amp; Minutes/2025-2026/Agendas/Full Council/2025-07-17/PDF/"/>
    </mc:Choice>
  </mc:AlternateContent>
  <xr:revisionPtr revIDLastSave="217" documentId="8_{2F4A81B4-B64B-464B-8DBD-AE799A2DE9AF}" xr6:coauthVersionLast="47" xr6:coauthVersionMax="47" xr10:uidLastSave="{B52B2C46-1C05-4334-A80D-026194F70035}"/>
  <bookViews>
    <workbookView xWindow="-28920" yWindow="-120" windowWidth="29040" windowHeight="15720" tabRatio="836" xr2:uid="{00000000-000D-0000-FFFF-FFFF00000000}"/>
  </bookViews>
  <sheets>
    <sheet name="Budget Summary" sheetId="8" r:id="rId1"/>
    <sheet name="Reserves" sheetId="9" r:id="rId2"/>
    <sheet name="100 Income" sheetId="2" r:id="rId3"/>
    <sheet name="101 Admin" sheetId="3" r:id="rId4"/>
    <sheet name="105 Community" sheetId="4" r:id="rId5"/>
    <sheet name="106 Estate Managment" sheetId="5" r:id="rId6"/>
    <sheet name="107 Planning and Highways" sheetId="6" r:id="rId7"/>
    <sheet name="CIL" sheetId="14" r:id="rId8"/>
  </sheets>
  <definedNames>
    <definedName name="_xlnm.Print_Area" localSheetId="2">'100 Income'!$B$2:$L$36</definedName>
    <definedName name="_xlnm.Print_Area" localSheetId="3">'101 Admin'!$B$2:$L$46</definedName>
    <definedName name="_xlnm.Print_Area" localSheetId="4">'105 Community'!$B$2:$L$20</definedName>
    <definedName name="_xlnm.Print_Area" localSheetId="5">'106 Estate Managment'!$B$2:$L$33</definedName>
    <definedName name="_xlnm.Print_Area" localSheetId="6">'107 Planning and Highways'!$B$2:$L$24</definedName>
    <definedName name="_xlnm.Print_Area" localSheetId="0">'Budget Summary'!$B$2:$L$35</definedName>
    <definedName name="_xlnm.Print_Area" localSheetId="1">Reserves!$B$3:$K$28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7" i="5" l="1"/>
  <c r="F47" i="5"/>
  <c r="E47" i="5"/>
  <c r="D47" i="5"/>
  <c r="K19" i="4"/>
  <c r="J19" i="4"/>
  <c r="I19" i="4"/>
  <c r="K17" i="4"/>
  <c r="J17" i="4"/>
  <c r="I17" i="4"/>
  <c r="H47" i="5"/>
  <c r="G45" i="5" l="1"/>
  <c r="I45" i="5" s="1"/>
  <c r="J45" i="5"/>
  <c r="K26" i="6"/>
  <c r="J26" i="6"/>
  <c r="I26" i="6"/>
  <c r="K45" i="5" l="1"/>
  <c r="H15" i="9" l="1"/>
  <c r="H8" i="9"/>
  <c r="I30" i="5" l="1"/>
  <c r="J30" i="5"/>
  <c r="K30" i="5"/>
  <c r="I28" i="5"/>
  <c r="J28" i="5"/>
  <c r="K28" i="5"/>
  <c r="I43" i="5"/>
  <c r="J43" i="5"/>
  <c r="K43" i="5"/>
  <c r="I41" i="5"/>
  <c r="J41" i="5"/>
  <c r="K41" i="5"/>
  <c r="I32" i="5" l="1"/>
  <c r="J32" i="5"/>
  <c r="K32" i="5"/>
  <c r="K28" i="4"/>
  <c r="J28" i="4"/>
  <c r="I28" i="4"/>
  <c r="K26" i="4"/>
  <c r="J26" i="4"/>
  <c r="I26" i="4"/>
  <c r="K24" i="4"/>
  <c r="J24" i="4"/>
  <c r="I24" i="4"/>
  <c r="K18" i="4"/>
  <c r="J18" i="4"/>
  <c r="I18" i="4"/>
  <c r="K16" i="4"/>
  <c r="J16" i="4"/>
  <c r="I16" i="4"/>
  <c r="D20" i="4"/>
  <c r="E20" i="4"/>
  <c r="F20" i="4"/>
  <c r="G20" i="4"/>
  <c r="H20" i="4"/>
  <c r="I22" i="4"/>
  <c r="J22" i="4"/>
  <c r="K22" i="4"/>
  <c r="D29" i="4"/>
  <c r="E29" i="4"/>
  <c r="F29" i="4"/>
  <c r="K20" i="4" l="1"/>
  <c r="D31" i="4"/>
  <c r="J20" i="4"/>
  <c r="I20" i="4"/>
  <c r="E31" i="4"/>
  <c r="F31" i="4"/>
  <c r="K24" i="3" l="1"/>
  <c r="J24" i="3"/>
  <c r="I24" i="3"/>
  <c r="H19" i="8"/>
  <c r="F17" i="9" l="1"/>
  <c r="J23" i="14"/>
  <c r="I10" i="3"/>
  <c r="J10" i="3"/>
  <c r="K10" i="3"/>
  <c r="J7" i="14"/>
  <c r="D21" i="6" l="1"/>
  <c r="E21" i="6"/>
  <c r="F21" i="6"/>
  <c r="G21" i="6"/>
  <c r="H21" i="6"/>
  <c r="H24" i="6" s="1"/>
  <c r="I10" i="6"/>
  <c r="J10" i="6"/>
  <c r="K10" i="6"/>
  <c r="I21" i="6" l="1"/>
  <c r="J21" i="6"/>
  <c r="K21" i="6"/>
  <c r="H12" i="9" l="1"/>
  <c r="H13" i="9"/>
  <c r="H9" i="9"/>
  <c r="H5" i="9"/>
  <c r="H16" i="9" l="1"/>
  <c r="H14" i="9"/>
  <c r="E13" i="9"/>
  <c r="E7" i="9"/>
  <c r="E22" i="9"/>
  <c r="E14" i="9"/>
  <c r="E10" i="9"/>
  <c r="H22" i="9" l="1"/>
  <c r="H23" i="9" s="1"/>
  <c r="I27" i="9"/>
  <c r="G27" i="9"/>
  <c r="E27" i="9"/>
  <c r="J22" i="9" l="1"/>
  <c r="H24" i="9"/>
  <c r="J24" i="9" s="1"/>
  <c r="J23" i="9"/>
  <c r="E17" i="9"/>
  <c r="J5" i="9"/>
  <c r="J16" i="9"/>
  <c r="J15" i="9"/>
  <c r="J14" i="9"/>
  <c r="J13" i="9"/>
  <c r="J8" i="9"/>
  <c r="J14" i="14" l="1"/>
  <c r="D14" i="14"/>
  <c r="B14" i="14"/>
  <c r="I23" i="14"/>
  <c r="L14" i="14"/>
  <c r="I14" i="14"/>
  <c r="N14" i="14" l="1"/>
  <c r="C23" i="14" s="1"/>
  <c r="E34" i="2"/>
  <c r="E26" i="2"/>
  <c r="E20" i="2"/>
  <c r="E28" i="2" l="1"/>
  <c r="E36" i="2" s="1"/>
  <c r="K14" i="5" l="1"/>
  <c r="J14" i="5"/>
  <c r="I14" i="5"/>
  <c r="F28" i="6" l="1"/>
  <c r="F27" i="8" s="1"/>
  <c r="F24" i="6"/>
  <c r="F26" i="8"/>
  <c r="F33" i="5"/>
  <c r="F25" i="8"/>
  <c r="F44" i="3"/>
  <c r="F24" i="8" s="1"/>
  <c r="F31" i="3"/>
  <c r="F9" i="8" s="1"/>
  <c r="F26" i="3"/>
  <c r="F26" i="2"/>
  <c r="F34" i="2"/>
  <c r="F20" i="2"/>
  <c r="K14" i="4"/>
  <c r="J14" i="4"/>
  <c r="I14" i="4"/>
  <c r="F49" i="5" l="1"/>
  <c r="F28" i="2"/>
  <c r="F6" i="8" s="1"/>
  <c r="F29" i="8"/>
  <c r="F12" i="8"/>
  <c r="F30" i="6"/>
  <c r="F11" i="8"/>
  <c r="F10" i="8"/>
  <c r="F46" i="3"/>
  <c r="F8" i="8"/>
  <c r="F18" i="8"/>
  <c r="F21" i="8" s="1"/>
  <c r="F31" i="8" s="1"/>
  <c r="G26" i="2"/>
  <c r="G20" i="2"/>
  <c r="D19" i="8"/>
  <c r="D18" i="8"/>
  <c r="F36" i="2" l="1"/>
  <c r="F13" i="8"/>
  <c r="F15" i="8" s="1"/>
  <c r="F32" i="8"/>
  <c r="D21" i="8"/>
  <c r="F35" i="8" l="1"/>
  <c r="G30" i="2"/>
  <c r="F25" i="9" s="1"/>
  <c r="J25" i="9" l="1"/>
  <c r="F27" i="9"/>
  <c r="H26" i="3"/>
  <c r="G26" i="3"/>
  <c r="E26" i="3"/>
  <c r="D26" i="3"/>
  <c r="K38" i="3" l="1"/>
  <c r="J38" i="3"/>
  <c r="I38" i="3"/>
  <c r="L23" i="14"/>
  <c r="K6" i="6" l="1"/>
  <c r="J6" i="6"/>
  <c r="I6" i="6"/>
  <c r="D23" i="14"/>
  <c r="H30" i="2" s="1"/>
  <c r="H18" i="8" s="1"/>
  <c r="H21" i="8" s="1"/>
  <c r="H27" i="9" l="1"/>
  <c r="G17" i="9"/>
  <c r="H10" i="9"/>
  <c r="J10" i="9" s="1"/>
  <c r="H11" i="9"/>
  <c r="J11" i="9" s="1"/>
  <c r="J9" i="9"/>
  <c r="H7" i="9"/>
  <c r="J7" i="9" s="1"/>
  <c r="M14" i="14" l="1"/>
  <c r="B23" i="14" s="1"/>
  <c r="N23" i="14" s="1"/>
  <c r="M23" i="14" l="1"/>
  <c r="G18" i="8"/>
  <c r="G19" i="8"/>
  <c r="G21" i="8" l="1"/>
  <c r="I17" i="9"/>
  <c r="D18" i="9"/>
  <c r="K39" i="5"/>
  <c r="J39" i="5"/>
  <c r="I39" i="5"/>
  <c r="H28" i="6"/>
  <c r="H27" i="8" s="1"/>
  <c r="K27" i="8" s="1"/>
  <c r="G28" i="6"/>
  <c r="J12" i="9" s="1"/>
  <c r="E28" i="6"/>
  <c r="E27" i="8" s="1"/>
  <c r="I27" i="8" s="1"/>
  <c r="D28" i="6"/>
  <c r="D27" i="8" s="1"/>
  <c r="H34" i="2"/>
  <c r="G34" i="2"/>
  <c r="D34" i="2"/>
  <c r="K32" i="2"/>
  <c r="J32" i="2"/>
  <c r="I32" i="2"/>
  <c r="K30" i="2"/>
  <c r="J30" i="2"/>
  <c r="I30" i="2"/>
  <c r="H44" i="3"/>
  <c r="H24" i="8" s="1"/>
  <c r="G44" i="3"/>
  <c r="H26" i="8"/>
  <c r="E26" i="8"/>
  <c r="E44" i="3"/>
  <c r="E24" i="8" s="1"/>
  <c r="K37" i="5"/>
  <c r="J37" i="5"/>
  <c r="I37" i="5"/>
  <c r="K35" i="5"/>
  <c r="J35" i="5"/>
  <c r="I35" i="5"/>
  <c r="H29" i="4"/>
  <c r="H31" i="4" s="1"/>
  <c r="G29" i="4"/>
  <c r="G31" i="4" s="1"/>
  <c r="I31" i="4" s="1"/>
  <c r="E25" i="8"/>
  <c r="D25" i="8"/>
  <c r="K33" i="3"/>
  <c r="J33" i="3"/>
  <c r="I33" i="3"/>
  <c r="D44" i="3"/>
  <c r="D24" i="8" s="1"/>
  <c r="K7" i="3"/>
  <c r="J7" i="3"/>
  <c r="I7" i="3"/>
  <c r="J31" i="4" l="1"/>
  <c r="K31" i="4"/>
  <c r="E29" i="8"/>
  <c r="K29" i="4"/>
  <c r="J29" i="4"/>
  <c r="G25" i="8"/>
  <c r="I25" i="8" s="1"/>
  <c r="H25" i="8"/>
  <c r="H29" i="8" s="1"/>
  <c r="G26" i="8"/>
  <c r="J47" i="5"/>
  <c r="I28" i="6"/>
  <c r="G27" i="8"/>
  <c r="I26" i="8" s="1"/>
  <c r="I47" i="5"/>
  <c r="K47" i="5"/>
  <c r="I44" i="3"/>
  <c r="J44" i="3"/>
  <c r="K44" i="3"/>
  <c r="G24" i="8"/>
  <c r="J27" i="8"/>
  <c r="J26" i="8"/>
  <c r="I29" i="4"/>
  <c r="J28" i="6"/>
  <c r="K28" i="6"/>
  <c r="K24" i="2"/>
  <c r="J24" i="2"/>
  <c r="I24" i="2"/>
  <c r="D14" i="6"/>
  <c r="D33" i="5"/>
  <c r="I8" i="3"/>
  <c r="I8" i="4"/>
  <c r="K23" i="6"/>
  <c r="K20" i="6"/>
  <c r="K19" i="6"/>
  <c r="K18" i="6"/>
  <c r="K17" i="6"/>
  <c r="K13" i="6"/>
  <c r="K12" i="6"/>
  <c r="K11" i="6"/>
  <c r="K8" i="6"/>
  <c r="K26" i="5"/>
  <c r="K22" i="5"/>
  <c r="K20" i="5"/>
  <c r="K18" i="5"/>
  <c r="K16" i="5"/>
  <c r="K12" i="5"/>
  <c r="K10" i="5"/>
  <c r="K8" i="5"/>
  <c r="K6" i="5"/>
  <c r="K12" i="4"/>
  <c r="K10" i="4"/>
  <c r="K8" i="4"/>
  <c r="K6" i="4"/>
  <c r="K6" i="3"/>
  <c r="K34" i="2"/>
  <c r="K25" i="2"/>
  <c r="K23" i="2"/>
  <c r="K22" i="2"/>
  <c r="K19" i="2"/>
  <c r="K18" i="2"/>
  <c r="K17" i="2"/>
  <c r="K15" i="2"/>
  <c r="K13" i="2"/>
  <c r="K11" i="2"/>
  <c r="K9" i="2"/>
  <c r="K7" i="2"/>
  <c r="K5" i="2"/>
  <c r="K40" i="3"/>
  <c r="K29" i="3"/>
  <c r="K28" i="3"/>
  <c r="K21" i="3"/>
  <c r="K20" i="3"/>
  <c r="K19" i="3"/>
  <c r="K18" i="3"/>
  <c r="K17" i="3"/>
  <c r="K16" i="3"/>
  <c r="K15" i="3"/>
  <c r="K14" i="3"/>
  <c r="K13" i="3"/>
  <c r="K12" i="3"/>
  <c r="K11" i="3"/>
  <c r="K9" i="3"/>
  <c r="K8" i="3"/>
  <c r="J26" i="5"/>
  <c r="I26" i="5"/>
  <c r="E33" i="5"/>
  <c r="E49" i="5" s="1"/>
  <c r="H33" i="5"/>
  <c r="H49" i="5" s="1"/>
  <c r="H20" i="2"/>
  <c r="H26" i="2"/>
  <c r="G33" i="5"/>
  <c r="G14" i="6"/>
  <c r="G24" i="6" s="1"/>
  <c r="D28" i="9"/>
  <c r="D31" i="9" s="1"/>
  <c r="E24" i="6"/>
  <c r="J23" i="6"/>
  <c r="I23" i="6"/>
  <c r="J20" i="6"/>
  <c r="I20" i="6"/>
  <c r="J19" i="6"/>
  <c r="I19" i="6"/>
  <c r="J18" i="6"/>
  <c r="I18" i="6"/>
  <c r="J17" i="6"/>
  <c r="I17" i="6"/>
  <c r="J14" i="6"/>
  <c r="J13" i="6"/>
  <c r="I13" i="6"/>
  <c r="J12" i="6"/>
  <c r="I12" i="6"/>
  <c r="J11" i="6"/>
  <c r="I11" i="6"/>
  <c r="J8" i="6"/>
  <c r="I8" i="6"/>
  <c r="J22" i="5"/>
  <c r="I22" i="5"/>
  <c r="J20" i="5"/>
  <c r="I20" i="5"/>
  <c r="J18" i="5"/>
  <c r="I18" i="5"/>
  <c r="J16" i="5"/>
  <c r="I16" i="5"/>
  <c r="J12" i="5"/>
  <c r="I12" i="5"/>
  <c r="J10" i="5"/>
  <c r="I10" i="5"/>
  <c r="J8" i="5"/>
  <c r="I8" i="5"/>
  <c r="J6" i="5"/>
  <c r="I6" i="5"/>
  <c r="J12" i="4"/>
  <c r="I12" i="4"/>
  <c r="J10" i="4"/>
  <c r="I10" i="4"/>
  <c r="J8" i="4"/>
  <c r="J6" i="4"/>
  <c r="I6" i="4"/>
  <c r="J34" i="2"/>
  <c r="I34" i="2"/>
  <c r="J25" i="2"/>
  <c r="I25" i="2"/>
  <c r="J23" i="2"/>
  <c r="I23" i="2"/>
  <c r="J22" i="2"/>
  <c r="I22" i="2"/>
  <c r="J19" i="2"/>
  <c r="I19" i="2"/>
  <c r="J18" i="2"/>
  <c r="I18" i="2"/>
  <c r="J17" i="2"/>
  <c r="I17" i="2"/>
  <c r="J15" i="2"/>
  <c r="I15" i="2"/>
  <c r="J13" i="2"/>
  <c r="I13" i="2"/>
  <c r="J11" i="2"/>
  <c r="I11" i="2"/>
  <c r="J9" i="2"/>
  <c r="I9" i="2"/>
  <c r="J7" i="2"/>
  <c r="I7" i="2"/>
  <c r="J5" i="2"/>
  <c r="I5" i="2"/>
  <c r="E18" i="8"/>
  <c r="E21" i="8" s="1"/>
  <c r="E31" i="8" s="1"/>
  <c r="I40" i="3"/>
  <c r="J40" i="3"/>
  <c r="J29" i="3"/>
  <c r="J28" i="3"/>
  <c r="J21" i="3"/>
  <c r="J20" i="3"/>
  <c r="J19" i="3"/>
  <c r="J18" i="3"/>
  <c r="J17" i="3"/>
  <c r="J16" i="3"/>
  <c r="J15" i="3"/>
  <c r="J14" i="3"/>
  <c r="J13" i="3"/>
  <c r="J12" i="3"/>
  <c r="J11" i="3"/>
  <c r="J9" i="3"/>
  <c r="J8" i="3"/>
  <c r="J6" i="3"/>
  <c r="I29" i="3"/>
  <c r="I28" i="3"/>
  <c r="I21" i="3"/>
  <c r="I20" i="3"/>
  <c r="I19" i="3"/>
  <c r="I18" i="3"/>
  <c r="I17" i="3"/>
  <c r="I16" i="3"/>
  <c r="I15" i="3"/>
  <c r="I14" i="3"/>
  <c r="I13" i="3"/>
  <c r="I12" i="3"/>
  <c r="I11" i="3"/>
  <c r="I9" i="3"/>
  <c r="D20" i="2"/>
  <c r="D26" i="2"/>
  <c r="I6" i="3"/>
  <c r="M10" i="8"/>
  <c r="G29" i="8" l="1"/>
  <c r="G31" i="8"/>
  <c r="G32" i="8" s="1"/>
  <c r="H17" i="9"/>
  <c r="D24" i="6"/>
  <c r="G49" i="5"/>
  <c r="I49" i="5" s="1"/>
  <c r="K25" i="8"/>
  <c r="J25" i="8"/>
  <c r="D28" i="2"/>
  <c r="D36" i="2" s="1"/>
  <c r="E30" i="6"/>
  <c r="E8" i="8"/>
  <c r="H8" i="8"/>
  <c r="E10" i="8"/>
  <c r="D10" i="8"/>
  <c r="I14" i="6"/>
  <c r="G30" i="6"/>
  <c r="K14" i="6"/>
  <c r="K26" i="8"/>
  <c r="D11" i="8"/>
  <c r="J28" i="9"/>
  <c r="E6" i="8"/>
  <c r="I20" i="2"/>
  <c r="J26" i="2"/>
  <c r="K20" i="2"/>
  <c r="K18" i="8"/>
  <c r="E11" i="8"/>
  <c r="G11" i="8"/>
  <c r="I24" i="8"/>
  <c r="K24" i="8"/>
  <c r="G10" i="8"/>
  <c r="I26" i="3"/>
  <c r="G8" i="8"/>
  <c r="D8" i="8"/>
  <c r="J24" i="8"/>
  <c r="J20" i="2"/>
  <c r="G28" i="2"/>
  <c r="K26" i="2"/>
  <c r="J18" i="8"/>
  <c r="I18" i="8"/>
  <c r="H28" i="2"/>
  <c r="E12" i="8"/>
  <c r="I33" i="5"/>
  <c r="K33" i="5"/>
  <c r="J33" i="5"/>
  <c r="H11" i="8"/>
  <c r="J26" i="3"/>
  <c r="K26" i="3"/>
  <c r="G36" i="2" l="1"/>
  <c r="J8" i="8"/>
  <c r="I30" i="6"/>
  <c r="G12" i="8"/>
  <c r="I24" i="6"/>
  <c r="I11" i="8"/>
  <c r="D12" i="8"/>
  <c r="D30" i="6"/>
  <c r="D6" i="8"/>
  <c r="K49" i="5"/>
  <c r="J49" i="5"/>
  <c r="H10" i="8"/>
  <c r="J10" i="8" s="1"/>
  <c r="I31" i="8"/>
  <c r="E32" i="8"/>
  <c r="I32" i="8" s="1"/>
  <c r="I10" i="8"/>
  <c r="I8" i="8"/>
  <c r="K8" i="8"/>
  <c r="I28" i="2"/>
  <c r="G6" i="8"/>
  <c r="J28" i="2"/>
  <c r="H6" i="8"/>
  <c r="H36" i="2"/>
  <c r="H41" i="2" s="1"/>
  <c r="K28" i="2"/>
  <c r="J11" i="8"/>
  <c r="K11" i="8"/>
  <c r="I36" i="2" l="1"/>
  <c r="I12" i="8"/>
  <c r="K10" i="8"/>
  <c r="I6" i="8"/>
  <c r="K6" i="8"/>
  <c r="J6" i="8"/>
  <c r="K36" i="2"/>
  <c r="J36" i="2"/>
  <c r="G31" i="3"/>
  <c r="H31" i="3"/>
  <c r="D31" i="3"/>
  <c r="D9" i="8" s="1"/>
  <c r="D13" i="8" s="1"/>
  <c r="E31" i="3"/>
  <c r="E9" i="8" l="1"/>
  <c r="E13" i="8" s="1"/>
  <c r="E46" i="3"/>
  <c r="H46" i="3"/>
  <c r="D46" i="3"/>
  <c r="H9" i="8"/>
  <c r="K31" i="3"/>
  <c r="D15" i="8"/>
  <c r="J31" i="3"/>
  <c r="G9" i="8"/>
  <c r="G13" i="8" s="1"/>
  <c r="G35" i="8" s="1"/>
  <c r="G46" i="3"/>
  <c r="I31" i="3"/>
  <c r="J46" i="3" l="1"/>
  <c r="J9" i="8"/>
  <c r="I46" i="3"/>
  <c r="E35" i="8"/>
  <c r="I9" i="8"/>
  <c r="K46" i="3"/>
  <c r="K9" i="8"/>
  <c r="I13" i="8"/>
  <c r="G15" i="8"/>
  <c r="J6" i="9" s="1"/>
  <c r="E15" i="8"/>
  <c r="J18" i="9" l="1"/>
  <c r="J31" i="9" s="1"/>
  <c r="I35" i="8"/>
  <c r="H31" i="8"/>
  <c r="H32" i="8" s="1"/>
  <c r="J32" i="8" l="1"/>
  <c r="K32" i="8"/>
  <c r="J31" i="8"/>
  <c r="K31" i="8"/>
  <c r="H30" i="6" l="1"/>
  <c r="K30" i="6" s="1"/>
  <c r="H12" i="8"/>
  <c r="K12" i="8" s="1"/>
  <c r="J12" i="8"/>
  <c r="K24" i="6"/>
  <c r="J24" i="6"/>
  <c r="J30" i="6" l="1"/>
  <c r="H13" i="8"/>
  <c r="H35" i="8" l="1"/>
  <c r="J13" i="8"/>
  <c r="C34" i="9"/>
  <c r="C35" i="9" s="1"/>
  <c r="H15" i="8"/>
  <c r="K13" i="8"/>
  <c r="J35" i="8" l="1"/>
  <c r="K35" i="8"/>
  <c r="D26" i="8"/>
  <c r="D31" i="8" s="1"/>
  <c r="D32" i="8" s="1"/>
  <c r="D49" i="5"/>
  <c r="D29" i="8" l="1"/>
  <c r="D35" i="8" s="1"/>
</calcChain>
</file>

<file path=xl/sharedStrings.xml><?xml version="1.0" encoding="utf-8"?>
<sst xmlns="http://schemas.openxmlformats.org/spreadsheetml/2006/main" count="362" uniqueCount="285">
  <si>
    <t>Summary</t>
  </si>
  <si>
    <t>Cost Centre</t>
  </si>
  <si>
    <t>Description</t>
  </si>
  <si>
    <t>Comments</t>
  </si>
  <si>
    <t>Parish Council Operating Income</t>
  </si>
  <si>
    <t>Administration Operating Costs</t>
  </si>
  <si>
    <t>Grants to other bodies</t>
  </si>
  <si>
    <t>Parish Council Operating Costs</t>
  </si>
  <si>
    <t>Parish Council Operating income less Operating Costs. Transfer to/ (from) General Reserve</t>
  </si>
  <si>
    <t>Total income less expenditure</t>
  </si>
  <si>
    <t>Year End Transfers Between EMRs</t>
  </si>
  <si>
    <t>Notes</t>
  </si>
  <si>
    <t>Cemetery Extension</t>
  </si>
  <si>
    <t>Fairground Works</t>
  </si>
  <si>
    <t>Election Expenses</t>
  </si>
  <si>
    <t>Tennis courts</t>
  </si>
  <si>
    <t>Roads, Footpaths &amp; Commons</t>
  </si>
  <si>
    <t>Neighbourhood Plan</t>
  </si>
  <si>
    <t>Total Transfers</t>
  </si>
  <si>
    <t>Total Operating Reserves</t>
  </si>
  <si>
    <t>SMPC Forecast Community Infrastructure Reserves</t>
  </si>
  <si>
    <t>CIL 21/22</t>
  </si>
  <si>
    <t>Community Infrastructure Reserves</t>
  </si>
  <si>
    <t>Total Reserves</t>
  </si>
  <si>
    <t>Total operating costs for the year</t>
  </si>
  <si>
    <t>100 Income</t>
  </si>
  <si>
    <t>Account code</t>
  </si>
  <si>
    <t>Account description</t>
  </si>
  <si>
    <t>Admin Income</t>
  </si>
  <si>
    <t>Wayleave Rental</t>
  </si>
  <si>
    <t>Precept</t>
  </si>
  <si>
    <t>Bank Interest</t>
  </si>
  <si>
    <t>Grants received</t>
  </si>
  <si>
    <t>Cemetery Fees - Burial Plot</t>
  </si>
  <si>
    <t>Cemetery Fees - Cremation Plot</t>
  </si>
  <si>
    <t>Cemetery Fees - Memorial</t>
  </si>
  <si>
    <t>Total Cemetery</t>
  </si>
  <si>
    <t>Fairground Hire Fee</t>
  </si>
  <si>
    <t>Fairground Hire Fee - Annual</t>
  </si>
  <si>
    <t>Fairground Hire - Tennis Courts</t>
  </si>
  <si>
    <t>Total Fairground</t>
  </si>
  <si>
    <t>Parish Council Operating income</t>
  </si>
  <si>
    <t>Total Parish Council Income</t>
  </si>
  <si>
    <t>CHECK</t>
  </si>
  <si>
    <t>Staff Costs</t>
  </si>
  <si>
    <t>Training</t>
  </si>
  <si>
    <t>Chairman's Allowance</t>
  </si>
  <si>
    <t>Election expenses</t>
  </si>
  <si>
    <t>Audit Fee</t>
  </si>
  <si>
    <t>Admin Expenses</t>
  </si>
  <si>
    <t>Insurance costs</t>
  </si>
  <si>
    <t>Annual Subscription</t>
  </si>
  <si>
    <t>Hall Rental</t>
  </si>
  <si>
    <t>Office - Rent, Rates, Utility</t>
  </si>
  <si>
    <t>Bank Charges</t>
  </si>
  <si>
    <t>Remembrance Day Commemoration</t>
  </si>
  <si>
    <t xml:space="preserve">Tennis Court Clubspark </t>
  </si>
  <si>
    <t>Community Award</t>
  </si>
  <si>
    <t>Willink Leisure Centre</t>
  </si>
  <si>
    <t>Grants</t>
  </si>
  <si>
    <t>Total Administration Costs</t>
  </si>
  <si>
    <t>Software / web design</t>
  </si>
  <si>
    <t>Web hosting</t>
  </si>
  <si>
    <t>Newsletters</t>
  </si>
  <si>
    <t>Community Forums</t>
  </si>
  <si>
    <t>Fairground grass cutting</t>
  </si>
  <si>
    <t>Fairground maintenance</t>
  </si>
  <si>
    <t>Dog bin waste disposal</t>
  </si>
  <si>
    <t>Play Equipment Maintenance</t>
  </si>
  <si>
    <t>Fairground lease rental</t>
  </si>
  <si>
    <t>Rent review took place in September 2020 and new rate is £2701. This will next be reviewed when the current lease expires in 2027</t>
  </si>
  <si>
    <t>Cemetery grass cutting</t>
  </si>
  <si>
    <t>Cemetery general maintenance</t>
  </si>
  <si>
    <t>Cemetery lease rental</t>
  </si>
  <si>
    <t>Pillbox general maintenance</t>
  </si>
  <si>
    <t>Roads</t>
  </si>
  <si>
    <t>Footpaths</t>
  </si>
  <si>
    <t>Commons</t>
  </si>
  <si>
    <t>RFC Special Projects</t>
  </si>
  <si>
    <t>West End Road Car Park</t>
  </si>
  <si>
    <t>Climate and Environment</t>
  </si>
  <si>
    <t>Queen's Platinum Jubilee</t>
  </si>
  <si>
    <t xml:space="preserve">Community Grant </t>
  </si>
  <si>
    <t>Fairground Tennis Courts - Annual</t>
  </si>
  <si>
    <t>Pension Admin Charge</t>
  </si>
  <si>
    <t>EMR Election Expenses</t>
  </si>
  <si>
    <t>EMR CIL expenditure</t>
  </si>
  <si>
    <t>EMR Spend</t>
  </si>
  <si>
    <t>EMR Website Spend</t>
  </si>
  <si>
    <t>EMR Cemetery Extension</t>
  </si>
  <si>
    <t>EMR Fairground Maintenance</t>
  </si>
  <si>
    <t xml:space="preserve">Climate and Environment </t>
  </si>
  <si>
    <t>EMR Income</t>
  </si>
  <si>
    <t>Administration</t>
  </si>
  <si>
    <t>EMR Income less Spend</t>
  </si>
  <si>
    <t>EMR Community Infrastructure Levy</t>
  </si>
  <si>
    <t>Donations</t>
  </si>
  <si>
    <t xml:space="preserve">EMR Neighbourhood Plan </t>
  </si>
  <si>
    <t>Windmill Common</t>
  </si>
  <si>
    <t>Transfers to / (from) reserves</t>
  </si>
  <si>
    <t>EMR Tennis Courts</t>
  </si>
  <si>
    <t>EMR Community Grant</t>
  </si>
  <si>
    <t>CIL 22/23</t>
  </si>
  <si>
    <t>TOTAL</t>
  </si>
  <si>
    <t>EMR Climate and Environment</t>
  </si>
  <si>
    <t>CIL EMRs</t>
  </si>
  <si>
    <t>Income 1106</t>
  </si>
  <si>
    <t>Date</t>
  </si>
  <si>
    <t>Detail</t>
  </si>
  <si>
    <t>Approval Details</t>
  </si>
  <si>
    <t>Project Detail</t>
  </si>
  <si>
    <t>PO</t>
  </si>
  <si>
    <t>EMR 334 21/22</t>
  </si>
  <si>
    <t>FC 13/10/2022</t>
  </si>
  <si>
    <t xml:space="preserve">Cost of Wreath and PA </t>
  </si>
  <si>
    <t>Assumes another round of Community Grants an adjustment has been made in Reserves</t>
  </si>
  <si>
    <t>EMR Youth Club Donated Funds</t>
  </si>
  <si>
    <t>Budgeted Opening Balance if all Approved Amounts are Paid</t>
  </si>
  <si>
    <t>Actual Rialtas CIL EMR Opening Balances</t>
  </si>
  <si>
    <t>Actual Rialtas CIL EMR Year End Closing Balance</t>
  </si>
  <si>
    <t>See sheet 101 Admin for details</t>
  </si>
  <si>
    <t xml:space="preserve">See sheet 100 Income for details. </t>
  </si>
  <si>
    <t>See CIL income sheet 100 Income</t>
  </si>
  <si>
    <t>See Donations income sheet 100 Income</t>
  </si>
  <si>
    <t>CIL &amp; other EMR spending sheet 101 Admin</t>
  </si>
  <si>
    <t>Red = affects other aspects of spreadsheet</t>
  </si>
  <si>
    <t>2024/25 Budget</t>
  </si>
  <si>
    <t>Defibrilators</t>
  </si>
  <si>
    <t>ASWC/CSW signs</t>
  </si>
  <si>
    <t>Unbudgeted Expenditure</t>
  </si>
  <si>
    <t>101 Administration</t>
  </si>
  <si>
    <t>Community Infrastructure Levy</t>
  </si>
  <si>
    <t>CIL 23/24</t>
  </si>
  <si>
    <t>Mortimer to Burghfield Cycleway and Footpath</t>
  </si>
  <si>
    <t xml:space="preserve"> Transfers Between EMRs</t>
  </si>
  <si>
    <t>EMR 335 22/23</t>
  </si>
  <si>
    <t>EMR cleared in 2023/24 with a donation to 1st Mortimer Scouts.</t>
  </si>
  <si>
    <t>Fee for Mortimer Tennis Club + 5%</t>
  </si>
  <si>
    <t>Windmill Common Tree Work</t>
  </si>
  <si>
    <r>
      <t>This spreadsheet tracks CIL income and expenditure for each Financial Year, taking into account</t>
    </r>
    <r>
      <rPr>
        <sz val="12"/>
        <color rgb="FF0070C0"/>
        <rFont val="Calibri"/>
        <family val="2"/>
      </rPr>
      <t xml:space="preserve"> </t>
    </r>
    <r>
      <rPr>
        <b/>
        <sz val="12"/>
        <rFont val="Calibri"/>
        <family val="2"/>
      </rPr>
      <t>actual</t>
    </r>
    <r>
      <rPr>
        <sz val="12"/>
        <rFont val="Calibri"/>
        <family val="2"/>
      </rPr>
      <t xml:space="preserve"> </t>
    </r>
    <r>
      <rPr>
        <sz val="12"/>
        <color rgb="FF000000"/>
        <rFont val="Calibri"/>
        <family val="2"/>
      </rPr>
      <t>and</t>
    </r>
    <r>
      <rPr>
        <sz val="12"/>
        <color theme="5" tint="-0.249977111117893"/>
        <rFont val="Calibri"/>
        <family val="2"/>
      </rPr>
      <t xml:space="preserve"> </t>
    </r>
    <r>
      <rPr>
        <b/>
        <sz val="12"/>
        <color theme="4" tint="-0.249977111117893"/>
        <rFont val="Calibri"/>
        <family val="2"/>
      </rPr>
      <t>budgeted</t>
    </r>
    <r>
      <rPr>
        <sz val="12"/>
        <color rgb="FF000000"/>
        <rFont val="Calibri"/>
        <family val="2"/>
      </rPr>
      <t xml:space="preserve"> amounts.</t>
    </r>
  </si>
  <si>
    <t>101 Admin</t>
  </si>
  <si>
    <t>EMR Cycleway and Footpath</t>
  </si>
  <si>
    <t>Scarecrow Trail</t>
  </si>
  <si>
    <t>Community Competition</t>
  </si>
  <si>
    <t>CCTV 4G Annual Charge</t>
  </si>
  <si>
    <t>No current EMR</t>
  </si>
  <si>
    <t>New code</t>
  </si>
  <si>
    <t>SMPC Budget 2025/26</t>
  </si>
  <si>
    <t>SMPC Committee Budgets 2025/26</t>
  </si>
  <si>
    <t>SMPC Forecast Operating Reserves 2025/26</t>
  </si>
  <si>
    <t>2023/24 Actual</t>
  </si>
  <si>
    <t>YTD Figures 30/09/2024</t>
  </si>
  <si>
    <t>2024/25 Forecast</t>
  </si>
  <si>
    <t>2025/26 Budget</t>
  </si>
  <si>
    <t>2024/25 Forecast vs 2024/25 Budget</t>
  </si>
  <si>
    <t>2025/26 Budget vs 2024/25 Budget</t>
  </si>
  <si>
    <t>2025/26 Budget vs 2024/25 Forecast</t>
  </si>
  <si>
    <t>New EMR Set Up During 2024/25</t>
  </si>
  <si>
    <t>Forecast Spend directly from EMRs for 2024/25</t>
  </si>
  <si>
    <t>Notes re 2025/26 Budget Figures</t>
  </si>
  <si>
    <t>EMR 336 23/24</t>
  </si>
  <si>
    <t>22/01422/RESMAJ (2 - 2B) Land South Of Tower Gardens</t>
  </si>
  <si>
    <t>23/00297/RESMAJ (3 - 19/00981/OUTMAJ ph3)  Land South Of Tower Gardens</t>
  </si>
  <si>
    <t xml:space="preserve">Expenditure Approved </t>
  </si>
  <si>
    <t>EMR Spend from 23/24 Accruals</t>
  </si>
  <si>
    <t>CIL 24/25</t>
  </si>
  <si>
    <t>Forecast CIL Expenditure</t>
  </si>
  <si>
    <t>EMR Operating Reserves</t>
  </si>
  <si>
    <t>From Rialtas Balance Sheet 01/04/2024</t>
  </si>
  <si>
    <t>EMR Spend in 2024/25  from 23/24 Accruals</t>
  </si>
  <si>
    <t>Brewery Common Recharge</t>
  </si>
  <si>
    <t>Accrual  23/24 Vic Road works</t>
  </si>
  <si>
    <t>It is assumed that the balance held for the conservation boards will have been spent in 2024/25.</t>
  </si>
  <si>
    <t>23/00297/RESMAJ (3 - 19/00981/OUTMAJ ph3) Land South Of Tower Gardens</t>
  </si>
  <si>
    <t>23/02392/RESMAJ (3 - 19/00981 ph3 (S73)) Land South Of Tower Gardens</t>
  </si>
  <si>
    <t xml:space="preserve">Assumes 5 burials - adult residents + 5% increase in fees </t>
  </si>
  <si>
    <t xml:space="preserve">Assumes 6 cremations - adult residents + 5% increase in fees </t>
  </si>
  <si>
    <t>MCC assumes same cost for 24/25</t>
  </si>
  <si>
    <t>Forecast public use of court hire 2024/25 + 5%</t>
  </si>
  <si>
    <t>Assumes memorials for 4 burial  &amp; 6 cremations + 5% increase in fees</t>
  </si>
  <si>
    <t>Assumes 4 full commercial days hire, 4 half days, Fit4Sports and  Little Kickers 33 weeks each + 5% increase in fees</t>
  </si>
  <si>
    <t>Maintained at 2024/25 budget level</t>
  </si>
  <si>
    <t>Provides for 12 x £3 Lloyds charge, 4 x £40 bank charge and 2 x £28 CHAP charges</t>
  </si>
  <si>
    <t>EMR held - see below.</t>
  </si>
  <si>
    <t>Amount allowed for the purchase and installation of  fixed speeding devices</t>
  </si>
  <si>
    <t>MOR006</t>
  </si>
  <si>
    <t>Amount Paid to Date (4930/EMR 320)  or Committed against a PO</t>
  </si>
  <si>
    <t>2386 + additional works</t>
  </si>
  <si>
    <t>Expenditure  Likely to be Spent</t>
  </si>
  <si>
    <t>Fairground Footpath &amp; Utility Square</t>
  </si>
  <si>
    <t>See sheet CIL (Red = figure affected by CIL  tab)</t>
  </si>
  <si>
    <t>EMR held for donating to community organisations as per the Community Grant Fund Policy</t>
  </si>
  <si>
    <t>EMR balance for landscaping</t>
  </si>
  <si>
    <t>EMR balance for cycleway</t>
  </si>
  <si>
    <t>EMR held for conservation boards expected to be spent in 2024/25</t>
  </si>
  <si>
    <t>Covers accounts software and general admin expenses and allows for an increase in 1) IT Support costs  of £780 2) payroll software of £156 and provides £750.00 for the purchase of equipment for remote meetings</t>
  </si>
  <si>
    <t xml:space="preserve">Allows for a 2% increase in costs for 2025/26 &amp; includes: NALC; BALC; SLCC x 2; ICCM; Parish Online; and CCB </t>
  </si>
  <si>
    <t>Provides for a 5% increase for 2025/26</t>
  </si>
  <si>
    <t>Allows for a 5% increase in costs for 2025/26 &amp; includes Council meeting hall hire and 4 x NAG meetings instead of 2</t>
  </si>
  <si>
    <t>EMR held - see below</t>
  </si>
  <si>
    <t>New EMR set up in 2024/25. No expenditure is predicted for 2025/26.</t>
  </si>
  <si>
    <t>Fairground fence*</t>
  </si>
  <si>
    <t>* £17,500 has been allowed for replacing the Fairground fence with galvanised Estate Railings. A quote for £14,000 was received in October 2024 so extra allowed for increased costs and provision of welfare facilities and waste removal which weren't included in the original quote.</t>
  </si>
  <si>
    <t>**£22,500 has been allowed for the resurfacing of the Hip Hop (Gyro Spiral), Titan Swing &amp; Super Nova. The resurfacing allowed for is the most expensive but is guranteed for 5 years and expected to last 15+ years.</t>
  </si>
  <si>
    <t>Operating Reserve</t>
  </si>
  <si>
    <t>General Reserves</t>
  </si>
  <si>
    <t>Calculation for Operating Reserve</t>
  </si>
  <si>
    <t>25% of operating costs</t>
  </si>
  <si>
    <t>Predicted General Reserves at 31/03/2025</t>
  </si>
  <si>
    <t>New EMR set up in 2024/25. Operating Reserves are held at 25% of annual operating costs (or 3 months) rounded up to the nearest 10k - see C34-C36</t>
  </si>
  <si>
    <t>EMR held for elections</t>
  </si>
  <si>
    <t>EMR held  for tennis court resuracing. It is estimated that £50k will be needed by March 2029</t>
  </si>
  <si>
    <t>EMR held of £7,72 for contribution to WBC for Brewery Common tree work - expected to be spent in 2024/25</t>
  </si>
  <si>
    <t>Funds from unspent 2024/25 Budget to be used for Windmill Common maintenance</t>
  </si>
  <si>
    <t>EMR held for Greening Campaign and other relevant projects</t>
  </si>
  <si>
    <t>Usual annual payment</t>
  </si>
  <si>
    <t>The Precept figure is the income needed to balance the difference between the operating income and costs giving a £0 in G16 on the Budget Summary</t>
  </si>
  <si>
    <t>Average monthly interest for the first half of 2024/25 was £2,500. Assumed an average of £2,000 a month bearing in mind changes in interest rates and funds being drawn down</t>
  </si>
  <si>
    <t>Annual administration cost paid monthly</t>
  </si>
  <si>
    <t>Maintained at 2024/25 cost</t>
  </si>
  <si>
    <t>Annual office rent of £3,500 is fixed until 08/08/2025. Also allows for uplift on costs for mobile phones and WiFi hotpsot and Gigaclear and VOIP costs</t>
  </si>
  <si>
    <t>Allows for a 5% increase in costs for 2025/26 &amp; includes: LTA - £147; CIA (gate maintenance, cloud cost and data contract costs) - £771; Stripe charges £240 (average £20.00 a month), emergency call out fee of £86.00</t>
  </si>
  <si>
    <t>Allows for a 5% increase in costs for 2025/26</t>
  </si>
  <si>
    <t>Community art competition linked to the Annual Parish Meeting. Number and amount of prizes will be dependent on the number of entrants. Maintained at 2024/25 level</t>
  </si>
  <si>
    <t>Allows for a grant to St Marys Church. WBC have said they will not be asking for a library contribution in 2025/26</t>
  </si>
  <si>
    <t>EMR held for election expenses. It is assumed that there will not be an election until May 2027</t>
  </si>
  <si>
    <t>Allows for up to 4 x quarterly reviews and updates of website accessibility in line with the Government Design System</t>
  </si>
  <si>
    <t>Provides for hosting, DNS &amp; FB postings and a SSL certificate approx £165.00</t>
  </si>
  <si>
    <t>Budget maintained at 2024/25 rate</t>
  </si>
  <si>
    <r>
      <t>Current contract includes 12 x monthly fees based on 19 "fortnightly visits" which address a range of activities on an as required basis. SCS work towards defined quality outcomes rather than defined quantity inputs, flexing their work schedule accordingly, to delivery well maintained and attractive grounds at all times of the year. Allows for 2 x one off costs for grazing area cuts at £149.92 per cut</t>
    </r>
    <r>
      <rPr>
        <sz val="10"/>
        <color rgb="FFFF0000"/>
        <rFont val="Arial"/>
        <family val="2"/>
      </rPr>
      <t xml:space="preserve">. </t>
    </r>
    <r>
      <rPr>
        <sz val="10"/>
        <rFont val="Arial"/>
        <family val="2"/>
      </rPr>
      <t>Allows for a  5% increase in costs for Jan, Feb &amp; March 2026</t>
    </r>
  </si>
  <si>
    <t>£17,750 has been allowed for: equipment manitenace; annual tennis court clean; electricity; waste collection, remedial works, Christmas tree; water charge; and sundries (i.e. refuse sacks, tools, seed, weedkiller, locks). An additional £17,500 of CIL funds - see CIL J16 - has been allowed for replacing the Fairground fence with galvanised Estate Railings</t>
  </si>
  <si>
    <t>Allows for a  5% increase on 2024/25 forecast costs</t>
  </si>
  <si>
    <t>£10,000 has been allowed for  'normal' level of preventive and reactive maintenance and inspection charges. An additional £22,500 of CIL funds - see CIL J18 - has been allowed for the resurfacing of the Hip Hop (Gyro Spiral), Titan Swing &amp; Super Nova</t>
  </si>
  <si>
    <t>Annual charge for 4G for CCTV - allows for a 5% increase on 2024/25 budgeted costs.Does not allow anything for emergency call out charge or associated hourly labour charge which would be circa £150 and £125 respectively</t>
  </si>
  <si>
    <r>
      <t xml:space="preserve">Current contract includes 16 x grass cut, 3 x weed applications &amp; 2 x hedge trims.  The current amount being charged has been doubled to allow for the grounds maintenance of the cemetery extension                                                                                        </t>
    </r>
    <r>
      <rPr>
        <sz val="10"/>
        <color rgb="FFFF0000"/>
        <rFont val="Arial"/>
        <family val="2"/>
      </rPr>
      <t xml:space="preserve">  </t>
    </r>
  </si>
  <si>
    <t xml:space="preserve"> 2025/26 level  incresaed to allow for any additional maintenance work in the cemetery extension</t>
  </si>
  <si>
    <t>Allows for 1 x tidy-up cut at the end of winter/beginning of spring, 4 scheduled maintenance cuts and 2 x on demand cuts as requested</t>
  </si>
  <si>
    <t>It is assumed that the cemetery extension will be finished early 2025/26</t>
  </si>
  <si>
    <t>An EMR of £47,666 is held for the resurfacing of the courts. It was a stipulation of a Sport England grant, given for the previous court renovations, that money should be saved for this purpose. It is estimated that £50,000 will be required but no expenditure is predicted for 2025/26</t>
  </si>
  <si>
    <t>The Street - repainting white lines</t>
  </si>
  <si>
    <t>Amount allowed for the purchase of tools for volunteers working on the commons</t>
  </si>
  <si>
    <t>Ongoing maintenance of fence and border</t>
  </si>
  <si>
    <t>It is assumed that WBC will have invoiced the recharge of £7,727 for the Brewery Common tree works by the start of the FY 2025/26</t>
  </si>
  <si>
    <t xml:space="preserve"> Tr/F from General Reserves to EMRs </t>
  </si>
  <si>
    <t>EMR held for costs: policy text (£5k); document text (£15k; Reg 14 (£2.5k); contingency (£2.5k)</t>
  </si>
  <si>
    <t>Officer &amp; Councillor training: increased for 2025/26 to allow for 2 x CiLCA fees</t>
  </si>
  <si>
    <t>Allows for 1) the new Employers NIC rate of 15% on earning above £5,000 2) Employers pension contribution, where applicable, at 3% on earnings above £6,240 3) an annual pay award of £1,290 for all staff 4) a SCP rise for the officers 5) overtime for CiLCA training</t>
  </si>
  <si>
    <t>EMR held for costs associated with the Neighbourhod Plan.Any additional funds needed will be approved by Council and transferred from General Reserves</t>
  </si>
  <si>
    <t>No more work is anticipated for Windmill Common but it was agreed to move £5,000 into an EMR for future common maintenance work.</t>
  </si>
  <si>
    <t>An EMR of £5,000 to be set up with some unspent funds from 2024/25 for Windmill Common works. Expenditure is dependent on the management plan for Windmill Common</t>
  </si>
  <si>
    <t>3 x 2000 newsletters based on the price of Autumn 2024 newsletter of £680</t>
  </si>
  <si>
    <t>Community Committee</t>
  </si>
  <si>
    <t>Budget for Community Committee being proposed as part of committee restructuring</t>
  </si>
  <si>
    <t>Resurfacing of play equipment**</t>
  </si>
  <si>
    <t>Mortimer to Burghfield Cycleway and Footpath***</t>
  </si>
  <si>
    <t>Resurfacing MUGA****</t>
  </si>
  <si>
    <t>Budgeted Year End Closing Balance if figures at "J14" &amp; "L14" are spent</t>
  </si>
  <si>
    <t>PLWB Loan Repayment</t>
  </si>
  <si>
    <t>Increases by RPI annually. Previously WBC have used the September's figure so assumes 2.7% (September 2024 figure)</t>
  </si>
  <si>
    <t>Reserved for loan repaymnets if necessary</t>
  </si>
  <si>
    <t xml:space="preserve">****£15,000 has been allowed for overskimmimg the MUGA with 20mm or tarmac as there are some signs of wear </t>
  </si>
  <si>
    <t>***£217,000 has been allowed for transferring into the Mortimer to Burghfield Cycleway and Footpath EMR</t>
  </si>
  <si>
    <t>25% of operating costs rounded to the nearest £10k</t>
  </si>
  <si>
    <t>Predicted Windmill Road, King Street, Stephens Close and miscellaneous</t>
  </si>
  <si>
    <t>Estate management</t>
  </si>
  <si>
    <t>Planning and Highways</t>
  </si>
  <si>
    <t>Community</t>
  </si>
  <si>
    <t>Total Community Costs</t>
  </si>
  <si>
    <t>Community Operating Costs</t>
  </si>
  <si>
    <t>See sheet 104 Community for details</t>
  </si>
  <si>
    <t>See sheet 301 Estate Management for details</t>
  </si>
  <si>
    <t>EMR spending sheet 104 Community</t>
  </si>
  <si>
    <t>EMR spending sheet 301 Estate Management</t>
  </si>
  <si>
    <t>EMR spending sheet 302 Planning and Highways</t>
  </si>
  <si>
    <t>See sheet 302 Planning and Highways for details</t>
  </si>
  <si>
    <t>105 Community</t>
  </si>
  <si>
    <t>106 Estate Management</t>
  </si>
  <si>
    <t>107Planning and Highways</t>
  </si>
  <si>
    <t>Planning and highways Operational Costs</t>
  </si>
  <si>
    <t>Total Estate Management Costs</t>
  </si>
  <si>
    <t>Total Planning &amp; Highways Costs</t>
  </si>
  <si>
    <t>Estate Management Operating Costs</t>
  </si>
  <si>
    <t>EMR held: currently no predicted spend for 2025/26</t>
  </si>
  <si>
    <t>EMR held as of 25/26 = £321,801 EMR transfer</t>
  </si>
  <si>
    <t>Assumes £17,500 for the Fairground fence and £22,500 for resurfacing of the Hip Hop (Gyro Spiral), Super Nova and Titan, £217,000 for the Cycleway has been moved into the cycleway EMR in Community cost centre, £15,000 for overskimmimg the MUGA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</si>
</sst>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_(* #,##0.00_);_(* \(#,##0.00\);_(* &quot;-&quot;??_);_(@_)"/>
    <numFmt numFmtId="165" formatCode="_(* #,##0_);_(* \(#,##0\);_(* &quot;-&quot;??_);_(@_)"/>
    <numFmt numFmtId="166" formatCode="&quot;£&quot;#,##0.00"/>
    <numFmt numFmtId="167" formatCode="&quot;£&quot;#,##0"/>
  </numFmts>
  <fonts count="88"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2"/>
      <color theme="1"/>
      <name val="Calibri"/>
      <family val="2"/>
      <scheme val="minor"/>
    </font>
    <font>
      <sz val="12"/>
      <name val="Arial"/>
      <family val="2"/>
    </font>
    <font>
      <b/>
      <sz val="12"/>
      <name val="Arial"/>
      <family val="2"/>
    </font>
    <font>
      <b/>
      <sz val="16"/>
      <color rgb="FF000000"/>
      <name val="Arial"/>
      <family val="2"/>
    </font>
    <font>
      <b/>
      <sz val="12"/>
      <color rgb="FF000000"/>
      <name val="Arial"/>
      <family val="2"/>
    </font>
    <font>
      <sz val="12"/>
      <color rgb="FF000000"/>
      <name val="Arial"/>
      <family val="2"/>
    </font>
    <font>
      <sz val="8"/>
      <name val="Calibri"/>
      <family val="2"/>
      <scheme val="minor"/>
    </font>
    <font>
      <sz val="12"/>
      <color theme="1"/>
      <name val="Arial"/>
      <family val="2"/>
    </font>
    <font>
      <u/>
      <sz val="12"/>
      <color theme="10"/>
      <name val="Calibri"/>
      <family val="2"/>
      <scheme val="minor"/>
    </font>
    <font>
      <u/>
      <sz val="12"/>
      <color theme="11"/>
      <name val="Calibri"/>
      <family val="2"/>
      <scheme val="minor"/>
    </font>
    <font>
      <sz val="12"/>
      <color indexed="8"/>
      <name val="Calibri"/>
      <family val="2"/>
    </font>
    <font>
      <b/>
      <sz val="12"/>
      <color indexed="8"/>
      <name val="Arial"/>
      <family val="2"/>
    </font>
    <font>
      <sz val="12"/>
      <color indexed="8"/>
      <name val="Arial"/>
      <family val="2"/>
    </font>
    <font>
      <b/>
      <sz val="12"/>
      <color theme="1"/>
      <name val="Arial"/>
      <family val="2"/>
    </font>
    <font>
      <b/>
      <i/>
      <sz val="12"/>
      <color rgb="FF000000"/>
      <name val="Arial"/>
      <family val="2"/>
    </font>
    <font>
      <sz val="12"/>
      <color rgb="FFFF0000"/>
      <name val="Arial"/>
      <family val="2"/>
    </font>
    <font>
      <b/>
      <sz val="14"/>
      <color theme="1"/>
      <name val="Arial"/>
      <family val="2"/>
    </font>
    <font>
      <b/>
      <sz val="12"/>
      <color rgb="FFFF0000"/>
      <name val="Arial"/>
      <family val="2"/>
    </font>
    <font>
      <sz val="12"/>
      <color rgb="FFFF0000"/>
      <name val="Calibri"/>
      <family val="2"/>
      <scheme val="minor"/>
    </font>
    <font>
      <sz val="12"/>
      <color rgb="FF00B050"/>
      <name val="Arial"/>
      <family val="2"/>
    </font>
    <font>
      <sz val="12"/>
      <color theme="9" tint="-0.249977111117893"/>
      <name val="Arial"/>
      <family val="2"/>
    </font>
    <font>
      <sz val="12"/>
      <color theme="9" tint="-0.249977111117893"/>
      <name val="Calibri"/>
      <family val="2"/>
      <scheme val="minor"/>
    </font>
    <font>
      <b/>
      <sz val="16"/>
      <name val="Arial"/>
      <family val="2"/>
    </font>
    <font>
      <b/>
      <i/>
      <sz val="12"/>
      <name val="Arial"/>
      <family val="2"/>
    </font>
    <font>
      <sz val="10"/>
      <name val="Arial"/>
      <family val="2"/>
    </font>
    <font>
      <b/>
      <sz val="12"/>
      <color rgb="FFFF0000"/>
      <name val="Calibri"/>
      <family val="2"/>
      <scheme val="minor"/>
    </font>
    <font>
      <b/>
      <sz val="12"/>
      <color rgb="FF00B050"/>
      <name val="Arial"/>
      <family val="2"/>
    </font>
    <font>
      <b/>
      <sz val="12"/>
      <color rgb="FF0070C0"/>
      <name val="Arial"/>
      <family val="2"/>
    </font>
    <font>
      <sz val="12"/>
      <color rgb="FF0070C0"/>
      <name val="Arial"/>
      <family val="2"/>
    </font>
    <font>
      <sz val="12"/>
      <name val="Calibri"/>
      <family val="2"/>
      <scheme val="minor"/>
    </font>
    <font>
      <b/>
      <sz val="12"/>
      <color theme="0" tint="-0.249977111117893"/>
      <name val="Arial"/>
      <family val="2"/>
    </font>
    <font>
      <sz val="12"/>
      <color theme="0" tint="-0.249977111117893"/>
      <name val="Arial"/>
      <family val="2"/>
    </font>
    <font>
      <sz val="12"/>
      <color theme="0" tint="-0.249977111117893"/>
      <name val="Calibri"/>
      <family val="2"/>
      <scheme val="minor"/>
    </font>
    <font>
      <b/>
      <sz val="16"/>
      <color rgb="FF000000"/>
      <name val="Calibri"/>
      <family val="2"/>
    </font>
    <font>
      <b/>
      <sz val="12"/>
      <color theme="1"/>
      <name val="Calibri"/>
      <family val="2"/>
      <charset val="238"/>
      <scheme val="minor"/>
    </font>
    <font>
      <sz val="12"/>
      <color rgb="FF0070C0"/>
      <name val="Calibri"/>
      <family val="2"/>
      <scheme val="minor"/>
    </font>
    <font>
      <sz val="12"/>
      <color rgb="FF00B050"/>
      <name val="Calibri"/>
      <family val="2"/>
      <scheme val="minor"/>
    </font>
    <font>
      <b/>
      <sz val="12"/>
      <color theme="0" tint="-0.34998626667073579"/>
      <name val="Arial"/>
      <family val="2"/>
    </font>
    <font>
      <sz val="12"/>
      <color theme="0" tint="-0.34998626667073579"/>
      <name val="Arial"/>
      <family val="2"/>
    </font>
    <font>
      <sz val="12"/>
      <color theme="0" tint="-0.34998626667073579"/>
      <name val="Calibri"/>
      <family val="2"/>
      <scheme val="minor"/>
    </font>
    <font>
      <sz val="12"/>
      <color rgb="FF000000"/>
      <name val="Calibri"/>
      <family val="2"/>
    </font>
    <font>
      <sz val="12"/>
      <color rgb="FF0070C0"/>
      <name val="Calibri"/>
      <family val="2"/>
    </font>
    <font>
      <sz val="11"/>
      <color rgb="FF242424"/>
      <name val="Calibri"/>
      <family val="2"/>
      <scheme val="minor"/>
    </font>
    <font>
      <sz val="12"/>
      <color theme="4"/>
      <name val="Calibri"/>
      <family val="2"/>
      <scheme val="minor"/>
    </font>
    <font>
      <sz val="12"/>
      <color theme="5"/>
      <name val="Calibri"/>
      <family val="2"/>
      <scheme val="minor"/>
    </font>
    <font>
      <b/>
      <sz val="12"/>
      <color theme="5"/>
      <name val="Calibri"/>
      <family val="2"/>
      <scheme val="minor"/>
    </font>
    <font>
      <b/>
      <sz val="12"/>
      <name val="Calibri"/>
      <family val="2"/>
      <scheme val="minor"/>
    </font>
    <font>
      <b/>
      <sz val="12"/>
      <name val="Calibri"/>
      <family val="2"/>
    </font>
    <font>
      <sz val="12"/>
      <name val="Calibri"/>
      <family val="2"/>
    </font>
    <font>
      <sz val="12"/>
      <color theme="5" tint="-0.249977111117893"/>
      <name val="Calibri"/>
      <family val="2"/>
    </font>
    <font>
      <sz val="12"/>
      <color theme="4" tint="-0.249977111117893"/>
      <name val="Calibri"/>
      <family val="2"/>
      <scheme val="minor"/>
    </font>
    <font>
      <b/>
      <sz val="12"/>
      <color theme="4" tint="-0.249977111117893"/>
      <name val="Calibri"/>
      <family val="2"/>
      <scheme val="minor"/>
    </font>
    <font>
      <b/>
      <sz val="12"/>
      <color theme="4" tint="-0.249977111117893"/>
      <name val="Calibri"/>
      <family val="2"/>
      <charset val="238"/>
      <scheme val="minor"/>
    </font>
    <font>
      <b/>
      <sz val="16"/>
      <color theme="9"/>
      <name val="Arial"/>
      <family val="2"/>
    </font>
    <font>
      <b/>
      <sz val="12"/>
      <color theme="4" tint="-0.249977111117893"/>
      <name val="Calibri"/>
      <family val="2"/>
    </font>
    <font>
      <b/>
      <sz val="14"/>
      <name val="Arial"/>
      <family val="2"/>
    </font>
    <font>
      <b/>
      <sz val="12"/>
      <color theme="1"/>
      <name val="Calibri"/>
      <family val="2"/>
      <scheme val="minor"/>
    </font>
    <font>
      <b/>
      <sz val="8"/>
      <name val="Arial"/>
      <family val="2"/>
    </font>
    <font>
      <b/>
      <sz val="8"/>
      <color rgb="FFFF0000"/>
      <name val="Arial"/>
      <family val="2"/>
    </font>
    <font>
      <sz val="8"/>
      <name val="Arial"/>
      <family val="2"/>
    </font>
    <font>
      <sz val="8"/>
      <color rgb="FF00B050"/>
      <name val="Arial"/>
      <family val="2"/>
    </font>
    <font>
      <b/>
      <sz val="8"/>
      <color theme="0" tint="-0.34998626667073579"/>
      <name val="Arial"/>
      <family val="2"/>
    </font>
    <font>
      <sz val="8"/>
      <color rgb="FFFF0000"/>
      <name val="Calibri"/>
      <family val="2"/>
      <scheme val="minor"/>
    </font>
    <font>
      <sz val="8"/>
      <color theme="0" tint="-0.249977111117893"/>
      <name val="Arial"/>
      <family val="2"/>
    </font>
    <font>
      <sz val="8"/>
      <color theme="0" tint="-0.34998626667073579"/>
      <name val="Arial"/>
      <family val="2"/>
    </font>
    <font>
      <b/>
      <sz val="12"/>
      <color theme="4"/>
      <name val="Calibri"/>
      <family val="2"/>
      <charset val="238"/>
      <scheme val="minor"/>
    </font>
    <font>
      <sz val="12"/>
      <color theme="4"/>
      <name val="Arial"/>
      <family val="2"/>
    </font>
    <font>
      <b/>
      <sz val="12"/>
      <color theme="4"/>
      <name val="Arial"/>
      <family val="2"/>
    </font>
    <font>
      <sz val="9"/>
      <color theme="1"/>
      <name val="Calibri"/>
      <family val="2"/>
      <scheme val="minor"/>
    </font>
    <font>
      <b/>
      <sz val="12"/>
      <name val="Calibri"/>
      <family val="2"/>
      <charset val="238"/>
      <scheme val="minor"/>
    </font>
    <font>
      <sz val="10"/>
      <name val="Calibri"/>
      <family val="2"/>
      <scheme val="minor"/>
    </font>
    <font>
      <sz val="10"/>
      <color theme="1"/>
      <name val="Arial"/>
      <family val="2"/>
    </font>
    <font>
      <sz val="10"/>
      <color theme="0" tint="-0.34998626667073579"/>
      <name val="Arial"/>
      <family val="2"/>
    </font>
    <font>
      <sz val="10"/>
      <color rgb="FFFF0000"/>
      <name val="Arial"/>
      <family val="2"/>
    </font>
    <font>
      <b/>
      <sz val="10"/>
      <color theme="0" tint="-0.34998626667073579"/>
      <name val="Arial"/>
      <family val="2"/>
    </font>
    <font>
      <sz val="10"/>
      <color theme="1"/>
      <name val="Calibri"/>
      <family val="2"/>
      <scheme val="minor"/>
    </font>
    <font>
      <sz val="10"/>
      <color theme="4" tint="-0.249977111117893"/>
      <name val="Calibri"/>
      <family val="2"/>
      <scheme val="minor"/>
    </font>
    <font>
      <sz val="10"/>
      <color theme="0" tint="-0.34998626667073579"/>
      <name val="Calibri"/>
      <family val="2"/>
      <scheme val="minor"/>
    </font>
    <font>
      <sz val="10"/>
      <color theme="0" tint="-0.249977111117893"/>
      <name val="Arial"/>
      <family val="2"/>
    </font>
    <font>
      <b/>
      <sz val="10"/>
      <color rgb="FFFF0000"/>
      <name val="Arial"/>
      <family val="2"/>
    </font>
    <font>
      <sz val="10"/>
      <color rgb="FF000000"/>
      <name val="Arial"/>
      <family val="2"/>
    </font>
  </fonts>
  <fills count="12">
    <fill>
      <patternFill patternType="none"/>
    </fill>
    <fill>
      <patternFill patternType="gray125"/>
    </fill>
    <fill>
      <patternFill patternType="solid">
        <fgColor rgb="FFDAEEF3"/>
        <bgColor rgb="FF000000"/>
      </patternFill>
    </fill>
    <fill>
      <patternFill patternType="solid">
        <fgColor theme="8" tint="0.79998168889431442"/>
        <bgColor indexed="64"/>
      </patternFill>
    </fill>
    <fill>
      <patternFill patternType="solid">
        <fgColor rgb="FFDAEEF3"/>
        <bgColor indexed="64"/>
      </patternFill>
    </fill>
    <fill>
      <patternFill patternType="solid">
        <fgColor theme="0" tint="-0.14999847407452621"/>
        <bgColor indexed="64"/>
      </patternFill>
    </fill>
    <fill>
      <patternFill patternType="solid">
        <fgColor theme="8" tint="0.79998168889431442"/>
        <bgColor rgb="FF000000"/>
      </patternFill>
    </fill>
    <fill>
      <patternFill patternType="solid">
        <fgColor rgb="FFDDEBF7"/>
        <bgColor indexed="64"/>
      </patternFill>
    </fill>
    <fill>
      <patternFill patternType="solid">
        <fgColor theme="2"/>
        <bgColor indexed="64"/>
      </patternFill>
    </fill>
    <fill>
      <patternFill patternType="solid">
        <fgColor rgb="FFFF0000"/>
        <bgColor indexed="64"/>
      </patternFill>
    </fill>
    <fill>
      <patternFill patternType="solid">
        <fgColor rgb="FFFFFF00"/>
        <bgColor rgb="FF000000"/>
      </patternFill>
    </fill>
    <fill>
      <patternFill patternType="solid">
        <fgColor rgb="FFFFFF00"/>
        <bgColor indexed="64"/>
      </patternFill>
    </fill>
  </fills>
  <borders count="66">
    <border>
      <left/>
      <right/>
      <top/>
      <bottom/>
      <diagonal/>
    </border>
    <border>
      <left style="thin">
        <color rgb="FF000000"/>
      </left>
      <right/>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medium">
        <color auto="1"/>
      </left>
      <right style="thin">
        <color rgb="FF000000"/>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rgb="FF000000"/>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rgb="FF000000"/>
      </left>
      <right/>
      <top style="thin">
        <color rgb="FF000000"/>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thin">
        <color auto="1"/>
      </top>
      <bottom/>
      <diagonal/>
    </border>
    <border>
      <left style="thin">
        <color rgb="FF000000"/>
      </left>
      <right/>
      <top style="medium">
        <color auto="1"/>
      </top>
      <bottom/>
      <diagonal/>
    </border>
    <border>
      <left/>
      <right style="medium">
        <color auto="1"/>
      </right>
      <top style="thin">
        <color rgb="FF000000"/>
      </top>
      <bottom style="medium">
        <color auto="1"/>
      </bottom>
      <diagonal/>
    </border>
    <border>
      <left/>
      <right/>
      <top style="thin">
        <color rgb="FF000000"/>
      </top>
      <bottom style="medium">
        <color auto="1"/>
      </bottom>
      <diagonal/>
    </border>
    <border>
      <left style="medium">
        <color auto="1"/>
      </left>
      <right style="thin">
        <color auto="1"/>
      </right>
      <top style="medium">
        <color auto="1"/>
      </top>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rgb="FF000000"/>
      </top>
      <bottom style="medium">
        <color auto="1"/>
      </bottom>
      <diagonal/>
    </border>
    <border>
      <left style="medium">
        <color auto="1"/>
      </left>
      <right style="thin">
        <color auto="1"/>
      </right>
      <top style="thin">
        <color auto="1"/>
      </top>
      <bottom style="medium">
        <color auto="1"/>
      </bottom>
      <diagonal/>
    </border>
    <border>
      <left style="thin">
        <color rgb="FF000000"/>
      </left>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top/>
      <bottom style="medium">
        <color auto="1"/>
      </bottom>
      <diagonal/>
    </border>
    <border>
      <left style="medium">
        <color auto="1"/>
      </left>
      <right/>
      <top style="thin">
        <color auto="1"/>
      </top>
      <bottom/>
      <diagonal/>
    </border>
    <border>
      <left style="thin">
        <color auto="1"/>
      </left>
      <right/>
      <top style="thin">
        <color auto="1"/>
      </top>
      <bottom/>
      <diagonal/>
    </border>
    <border>
      <left/>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right style="thin">
        <color indexed="64"/>
      </right>
      <top/>
      <bottom style="thin">
        <color auto="1"/>
      </bottom>
      <diagonal/>
    </border>
    <border>
      <left style="thin">
        <color indexed="64"/>
      </left>
      <right style="thin">
        <color indexed="64"/>
      </right>
      <top style="thin">
        <color auto="1"/>
      </top>
      <bottom/>
      <diagonal/>
    </border>
    <border>
      <left style="thin">
        <color indexed="64"/>
      </left>
      <right style="thin">
        <color rgb="FF000000"/>
      </right>
      <top style="thin">
        <color indexed="64"/>
      </top>
      <bottom/>
      <diagonal/>
    </border>
    <border>
      <left/>
      <right style="thin">
        <color indexed="64"/>
      </right>
      <top style="thin">
        <color indexed="64"/>
      </top>
      <bottom/>
      <diagonal/>
    </border>
    <border>
      <left style="thin">
        <color indexed="64"/>
      </left>
      <right style="thin">
        <color rgb="FF000000"/>
      </right>
      <top/>
      <bottom/>
      <diagonal/>
    </border>
    <border>
      <left/>
      <right style="thin">
        <color indexed="64"/>
      </right>
      <top/>
      <bottom/>
      <diagonal/>
    </border>
    <border>
      <left/>
      <right style="thin">
        <color indexed="64"/>
      </right>
      <top/>
      <bottom style="medium">
        <color auto="1"/>
      </bottom>
      <diagonal/>
    </border>
    <border>
      <left style="thin">
        <color indexed="64"/>
      </left>
      <right style="thin">
        <color auto="1"/>
      </right>
      <top style="medium">
        <color auto="1"/>
      </top>
      <bottom/>
      <diagonal/>
    </border>
    <border>
      <left/>
      <right style="thin">
        <color indexed="64"/>
      </right>
      <top style="medium">
        <color auto="1"/>
      </top>
      <bottom/>
      <diagonal/>
    </border>
    <border>
      <left style="thin">
        <color indexed="64"/>
      </left>
      <right style="thin">
        <color auto="1"/>
      </right>
      <top/>
      <bottom style="thin">
        <color auto="1"/>
      </bottom>
      <diagonal/>
    </border>
    <border>
      <left style="thin">
        <color rgb="FF000000"/>
      </left>
      <right/>
      <top style="thin">
        <color auto="1"/>
      </top>
      <bottom style="thin">
        <color indexed="64"/>
      </bottom>
      <diagonal/>
    </border>
    <border>
      <left style="thin">
        <color auto="1"/>
      </left>
      <right style="thin">
        <color indexed="64"/>
      </right>
      <top/>
      <bottom/>
      <diagonal/>
    </border>
  </borders>
  <cellStyleXfs count="286">
    <xf numFmtId="0" fontId="0" fillId="0" borderId="0"/>
    <xf numFmtId="164" fontId="7" fillId="0" borderId="0" applyFon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9" fontId="6" fillId="0" borderId="0" applyFont="0" applyFill="0" applyBorder="0" applyAlignment="0" applyProtection="0"/>
    <xf numFmtId="0" fontId="17" fillId="0" borderId="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580">
    <xf numFmtId="0" fontId="0" fillId="0" borderId="0" xfId="0"/>
    <xf numFmtId="165" fontId="8" fillId="0" borderId="0" xfId="1" applyNumberFormat="1" applyFont="1" applyFill="1" applyBorder="1"/>
    <xf numFmtId="165" fontId="12" fillId="0" borderId="0" xfId="1" applyNumberFormat="1" applyFont="1" applyFill="1" applyBorder="1" applyAlignment="1">
      <alignment horizontal="left" indent="1"/>
    </xf>
    <xf numFmtId="165" fontId="12" fillId="0" borderId="0" xfId="1" applyNumberFormat="1" applyFont="1" applyFill="1" applyBorder="1"/>
    <xf numFmtId="165" fontId="9" fillId="2" borderId="5" xfId="1" applyNumberFormat="1" applyFont="1" applyFill="1" applyBorder="1"/>
    <xf numFmtId="0" fontId="18" fillId="3" borderId="3" xfId="7" applyFont="1" applyFill="1" applyBorder="1"/>
    <xf numFmtId="165" fontId="19" fillId="0" borderId="0" xfId="1" applyNumberFormat="1" applyFont="1" applyBorder="1"/>
    <xf numFmtId="0" fontId="19" fillId="0" borderId="2" xfId="7" applyFont="1" applyBorder="1"/>
    <xf numFmtId="0" fontId="18" fillId="0" borderId="2" xfId="7" applyFont="1" applyBorder="1"/>
    <xf numFmtId="0" fontId="12" fillId="0" borderId="14" xfId="1" applyNumberFormat="1" applyFont="1" applyFill="1" applyBorder="1" applyAlignment="1">
      <alignment horizontal="center"/>
    </xf>
    <xf numFmtId="165" fontId="12" fillId="0" borderId="0" xfId="1" applyNumberFormat="1" applyFont="1" applyFill="1" applyBorder="1" applyAlignment="1">
      <alignment horizontal="center"/>
    </xf>
    <xf numFmtId="0" fontId="12" fillId="2" borderId="17" xfId="1" applyNumberFormat="1" applyFont="1" applyFill="1" applyBorder="1" applyAlignment="1">
      <alignment horizontal="center"/>
    </xf>
    <xf numFmtId="0" fontId="12" fillId="0" borderId="21" xfId="1" applyNumberFormat="1" applyFont="1" applyFill="1" applyBorder="1" applyAlignment="1">
      <alignment horizontal="center"/>
    </xf>
    <xf numFmtId="165" fontId="9" fillId="0" borderId="0" xfId="1" applyNumberFormat="1" applyFont="1" applyFill="1" applyBorder="1"/>
    <xf numFmtId="0" fontId="11" fillId="0" borderId="14" xfId="1" applyNumberFormat="1" applyFont="1" applyFill="1" applyBorder="1" applyAlignment="1">
      <alignment horizontal="center"/>
    </xf>
    <xf numFmtId="0" fontId="11" fillId="0" borderId="12" xfId="1" applyNumberFormat="1" applyFont="1" applyFill="1" applyBorder="1" applyAlignment="1">
      <alignment horizontal="center"/>
    </xf>
    <xf numFmtId="165" fontId="8" fillId="0" borderId="0" xfId="1" applyNumberFormat="1" applyFont="1" applyFill="1" applyBorder="1" applyAlignment="1">
      <alignment horizontal="left" indent="1"/>
    </xf>
    <xf numFmtId="165" fontId="8" fillId="0" borderId="0" xfId="1" applyNumberFormat="1" applyFont="1" applyFill="1" applyBorder="1" applyAlignment="1">
      <alignment horizontal="left" wrapText="1" indent="1"/>
    </xf>
    <xf numFmtId="165" fontId="9" fillId="2" borderId="19" xfId="1" applyNumberFormat="1" applyFont="1" applyFill="1" applyBorder="1"/>
    <xf numFmtId="0" fontId="12" fillId="0" borderId="29" xfId="1" applyNumberFormat="1" applyFont="1" applyFill="1" applyBorder="1" applyAlignment="1">
      <alignment horizontal="center"/>
    </xf>
    <xf numFmtId="0" fontId="11" fillId="2" borderId="30" xfId="1" applyNumberFormat="1" applyFont="1" applyFill="1" applyBorder="1" applyAlignment="1">
      <alignment horizontal="center"/>
    </xf>
    <xf numFmtId="0" fontId="8" fillId="0" borderId="21" xfId="0" applyFont="1" applyBorder="1" applyAlignment="1">
      <alignment vertical="center" wrapText="1"/>
    </xf>
    <xf numFmtId="0" fontId="9" fillId="4" borderId="32" xfId="0" applyFont="1" applyFill="1" applyBorder="1" applyAlignment="1">
      <alignment vertical="center" wrapText="1"/>
    </xf>
    <xf numFmtId="9" fontId="12" fillId="0" borderId="0" xfId="6" applyFont="1" applyFill="1" applyBorder="1" applyAlignment="1">
      <alignment horizontal="center"/>
    </xf>
    <xf numFmtId="9" fontId="9" fillId="2" borderId="19" xfId="6" applyFont="1" applyFill="1" applyBorder="1" applyAlignment="1">
      <alignment horizontal="center"/>
    </xf>
    <xf numFmtId="0" fontId="11" fillId="0" borderId="21" xfId="1" applyNumberFormat="1" applyFont="1" applyFill="1" applyBorder="1" applyAlignment="1">
      <alignment horizontal="center"/>
    </xf>
    <xf numFmtId="0" fontId="12" fillId="2" borderId="33" xfId="1" applyNumberFormat="1" applyFont="1" applyFill="1" applyBorder="1" applyAlignment="1">
      <alignment horizontal="center"/>
    </xf>
    <xf numFmtId="165" fontId="12" fillId="0" borderId="8" xfId="1" applyNumberFormat="1" applyFont="1" applyFill="1" applyBorder="1" applyAlignment="1">
      <alignment horizontal="left" indent="1"/>
    </xf>
    <xf numFmtId="165" fontId="12" fillId="0" borderId="8" xfId="1" applyNumberFormat="1" applyFont="1" applyFill="1" applyBorder="1"/>
    <xf numFmtId="165" fontId="12" fillId="0" borderId="8" xfId="1" applyNumberFormat="1" applyFont="1" applyFill="1" applyBorder="1" applyAlignment="1">
      <alignment horizontal="center"/>
    </xf>
    <xf numFmtId="165" fontId="8" fillId="0" borderId="4" xfId="1" applyNumberFormat="1" applyFont="1" applyFill="1" applyBorder="1" applyAlignment="1">
      <alignment horizontal="left" wrapText="1" indent="1"/>
    </xf>
    <xf numFmtId="0" fontId="18" fillId="0" borderId="0" xfId="7" applyFont="1"/>
    <xf numFmtId="0" fontId="19" fillId="0" borderId="11" xfId="7" applyFont="1" applyBorder="1"/>
    <xf numFmtId="165" fontId="19" fillId="0" borderId="0" xfId="1" applyNumberFormat="1" applyFont="1" applyFill="1" applyBorder="1"/>
    <xf numFmtId="165" fontId="14" fillId="0" borderId="0" xfId="1" applyNumberFormat="1" applyFont="1" applyFill="1" applyBorder="1"/>
    <xf numFmtId="165" fontId="9" fillId="0" borderId="4" xfId="1" applyNumberFormat="1" applyFont="1" applyFill="1" applyBorder="1"/>
    <xf numFmtId="0" fontId="12" fillId="0" borderId="39" xfId="1" applyNumberFormat="1" applyFont="1" applyFill="1" applyBorder="1" applyAlignment="1">
      <alignment horizontal="center"/>
    </xf>
    <xf numFmtId="0" fontId="11" fillId="0" borderId="31" xfId="1" applyNumberFormat="1" applyFont="1" applyFill="1" applyBorder="1" applyAlignment="1">
      <alignment horizontal="center"/>
    </xf>
    <xf numFmtId="0" fontId="18" fillId="4" borderId="6" xfId="7" applyFont="1" applyFill="1" applyBorder="1"/>
    <xf numFmtId="165" fontId="0" fillId="0" borderId="0" xfId="0" applyNumberFormat="1"/>
    <xf numFmtId="0" fontId="18" fillId="0" borderId="14" xfId="7" applyFont="1" applyBorder="1" applyAlignment="1">
      <alignment horizontal="center"/>
    </xf>
    <xf numFmtId="0" fontId="18" fillId="3" borderId="12" xfId="7" applyFont="1" applyFill="1" applyBorder="1" applyAlignment="1">
      <alignment horizontal="center"/>
    </xf>
    <xf numFmtId="0" fontId="19" fillId="0" borderId="14" xfId="7" applyFont="1" applyBorder="1" applyAlignment="1">
      <alignment horizontal="center"/>
    </xf>
    <xf numFmtId="0" fontId="18" fillId="3" borderId="15" xfId="7" applyFont="1" applyFill="1" applyBorder="1" applyAlignment="1">
      <alignment horizontal="center"/>
    </xf>
    <xf numFmtId="0" fontId="18" fillId="4" borderId="22" xfId="7" applyFont="1" applyFill="1" applyBorder="1" applyAlignment="1">
      <alignment horizontal="center"/>
    </xf>
    <xf numFmtId="49" fontId="12" fillId="0" borderId="0" xfId="1" applyNumberFormat="1" applyFont="1" applyFill="1" applyBorder="1" applyAlignment="1">
      <alignment horizontal="left" indent="1"/>
    </xf>
    <xf numFmtId="49" fontId="8" fillId="0" borderId="2" xfId="1" applyNumberFormat="1" applyFont="1" applyFill="1" applyBorder="1" applyAlignment="1">
      <alignment horizontal="left" indent="1"/>
    </xf>
    <xf numFmtId="49" fontId="8" fillId="0" borderId="2" xfId="0" applyNumberFormat="1" applyFont="1" applyBorder="1" applyAlignment="1">
      <alignment horizontal="left" wrapText="1" indent="1"/>
    </xf>
    <xf numFmtId="49" fontId="9" fillId="2" borderId="18" xfId="0" applyNumberFormat="1" applyFont="1" applyFill="1" applyBorder="1" applyAlignment="1">
      <alignment horizontal="left" wrapText="1" indent="1"/>
    </xf>
    <xf numFmtId="49" fontId="8" fillId="0" borderId="3" xfId="1" applyNumberFormat="1" applyFont="1" applyFill="1" applyBorder="1" applyAlignment="1">
      <alignment horizontal="left" indent="1"/>
    </xf>
    <xf numFmtId="49" fontId="8" fillId="0" borderId="3" xfId="0" applyNumberFormat="1" applyFont="1" applyBorder="1" applyAlignment="1">
      <alignment horizontal="left" wrapText="1" indent="1"/>
    </xf>
    <xf numFmtId="49" fontId="9" fillId="2" borderId="6" xfId="0" applyNumberFormat="1" applyFont="1" applyFill="1" applyBorder="1" applyAlignment="1">
      <alignment horizontal="left" wrapText="1" indent="1"/>
    </xf>
    <xf numFmtId="49" fontId="9" fillId="2" borderId="5" xfId="0" applyNumberFormat="1" applyFont="1" applyFill="1" applyBorder="1" applyAlignment="1">
      <alignment horizontal="left" wrapText="1" indent="1"/>
    </xf>
    <xf numFmtId="49" fontId="9" fillId="2" borderId="28" xfId="0" applyNumberFormat="1" applyFont="1" applyFill="1" applyBorder="1" applyAlignment="1">
      <alignment horizontal="left" wrapText="1" indent="1"/>
    </xf>
    <xf numFmtId="49" fontId="12" fillId="0" borderId="8" xfId="1" applyNumberFormat="1" applyFont="1" applyFill="1" applyBorder="1" applyAlignment="1">
      <alignment horizontal="left" indent="1"/>
    </xf>
    <xf numFmtId="49" fontId="9" fillId="2" borderId="34" xfId="0" applyNumberFormat="1" applyFont="1" applyFill="1" applyBorder="1" applyAlignment="1">
      <alignment horizontal="left" wrapText="1" indent="1"/>
    </xf>
    <xf numFmtId="49" fontId="11" fillId="0" borderId="0" xfId="0" applyNumberFormat="1" applyFont="1" applyAlignment="1">
      <alignment horizontal="left" indent="1"/>
    </xf>
    <xf numFmtId="49" fontId="0" fillId="0" borderId="0" xfId="0" applyNumberFormat="1"/>
    <xf numFmtId="49" fontId="9" fillId="2" borderId="28" xfId="0" applyNumberFormat="1" applyFont="1" applyFill="1" applyBorder="1" applyAlignment="1">
      <alignment wrapText="1"/>
    </xf>
    <xf numFmtId="49" fontId="12" fillId="0" borderId="2" xfId="1" applyNumberFormat="1" applyFont="1" applyFill="1" applyBorder="1" applyAlignment="1">
      <alignment horizontal="left" indent="1"/>
    </xf>
    <xf numFmtId="49" fontId="9" fillId="4" borderId="6" xfId="1" applyNumberFormat="1" applyFont="1" applyFill="1" applyBorder="1" applyAlignment="1">
      <alignment horizontal="left" indent="1"/>
    </xf>
    <xf numFmtId="165" fontId="9" fillId="4" borderId="5" xfId="1" applyNumberFormat="1" applyFont="1" applyFill="1" applyBorder="1" applyAlignment="1">
      <alignment horizontal="left" indent="1"/>
    </xf>
    <xf numFmtId="49" fontId="14" fillId="0" borderId="0" xfId="0" applyNumberFormat="1" applyFont="1" applyAlignment="1">
      <alignment horizontal="left" indent="1"/>
    </xf>
    <xf numFmtId="49" fontId="20" fillId="4" borderId="19" xfId="0" applyNumberFormat="1" applyFont="1" applyFill="1" applyBorder="1" applyAlignment="1">
      <alignment horizontal="left" indent="1"/>
    </xf>
    <xf numFmtId="0" fontId="0" fillId="0" borderId="0" xfId="0" applyAlignment="1">
      <alignment horizontal="center"/>
    </xf>
    <xf numFmtId="0" fontId="14" fillId="0" borderId="14" xfId="0" applyFont="1" applyBorder="1" applyAlignment="1">
      <alignment horizontal="center"/>
    </xf>
    <xf numFmtId="0" fontId="20" fillId="4" borderId="17" xfId="0" applyFont="1" applyFill="1" applyBorder="1" applyAlignment="1">
      <alignment horizontal="center"/>
    </xf>
    <xf numFmtId="49" fontId="12" fillId="0" borderId="4" xfId="1" applyNumberFormat="1" applyFont="1" applyFill="1" applyBorder="1" applyAlignment="1">
      <alignment horizontal="left" indent="1"/>
    </xf>
    <xf numFmtId="0" fontId="11" fillId="0" borderId="15" xfId="1" applyNumberFormat="1" applyFont="1" applyFill="1" applyBorder="1" applyAlignment="1">
      <alignment horizontal="center"/>
    </xf>
    <xf numFmtId="0" fontId="11" fillId="0" borderId="30" xfId="1" applyNumberFormat="1" applyFont="1" applyFill="1" applyBorder="1" applyAlignment="1">
      <alignment horizontal="center"/>
    </xf>
    <xf numFmtId="49" fontId="12" fillId="0" borderId="5" xfId="1" applyNumberFormat="1" applyFont="1" applyFill="1" applyBorder="1" applyAlignment="1">
      <alignment horizontal="left" indent="1"/>
    </xf>
    <xf numFmtId="49" fontId="8" fillId="0" borderId="4" xfId="0" applyNumberFormat="1" applyFont="1" applyBorder="1" applyAlignment="1">
      <alignment horizontal="left" wrapText="1" indent="1"/>
    </xf>
    <xf numFmtId="165" fontId="9" fillId="3" borderId="19" xfId="1" applyNumberFormat="1" applyFont="1" applyFill="1" applyBorder="1"/>
    <xf numFmtId="165" fontId="9" fillId="0" borderId="4" xfId="1" applyNumberFormat="1" applyFont="1" applyFill="1" applyBorder="1" applyAlignment="1">
      <alignment horizontal="center"/>
    </xf>
    <xf numFmtId="0" fontId="18" fillId="4" borderId="40" xfId="7" applyFont="1" applyFill="1" applyBorder="1" applyAlignment="1">
      <alignment wrapText="1"/>
    </xf>
    <xf numFmtId="0" fontId="20" fillId="0" borderId="14" xfId="0" applyFont="1" applyBorder="1" applyAlignment="1">
      <alignment horizontal="center"/>
    </xf>
    <xf numFmtId="49" fontId="20" fillId="0" borderId="0" xfId="0" applyNumberFormat="1" applyFont="1" applyAlignment="1">
      <alignment horizontal="left" indent="1"/>
    </xf>
    <xf numFmtId="165" fontId="8" fillId="0" borderId="0" xfId="1" applyNumberFormat="1" applyFont="1" applyFill="1" applyBorder="1" applyAlignment="1">
      <alignment horizontal="center"/>
    </xf>
    <xf numFmtId="165" fontId="9" fillId="0" borderId="0" xfId="1" applyNumberFormat="1" applyFont="1" applyFill="1" applyBorder="1" applyAlignment="1">
      <alignment horizontal="left" indent="1"/>
    </xf>
    <xf numFmtId="0" fontId="0" fillId="5" borderId="36" xfId="0" applyFill="1" applyBorder="1"/>
    <xf numFmtId="165" fontId="0" fillId="5" borderId="38" xfId="0" applyNumberFormat="1" applyFill="1" applyBorder="1"/>
    <xf numFmtId="0" fontId="18" fillId="0" borderId="11" xfId="7" applyFont="1" applyBorder="1"/>
    <xf numFmtId="49" fontId="8" fillId="0" borderId="11" xfId="7" applyNumberFormat="1" applyFont="1" applyBorder="1"/>
    <xf numFmtId="49" fontId="19" fillId="0" borderId="11" xfId="7" applyNumberFormat="1" applyFont="1" applyBorder="1"/>
    <xf numFmtId="49" fontId="9" fillId="0" borderId="6" xfId="0" applyNumberFormat="1" applyFont="1" applyBorder="1" applyAlignment="1">
      <alignment horizontal="left" wrapText="1" indent="1"/>
    </xf>
    <xf numFmtId="165" fontId="9" fillId="0" borderId="5" xfId="1" applyNumberFormat="1" applyFont="1" applyFill="1" applyBorder="1"/>
    <xf numFmtId="49" fontId="9" fillId="0" borderId="4" xfId="0" applyNumberFormat="1" applyFont="1" applyBorder="1" applyAlignment="1">
      <alignment horizontal="left" wrapText="1" indent="1"/>
    </xf>
    <xf numFmtId="0" fontId="25" fillId="0" borderId="0" xfId="0" applyFont="1" applyAlignment="1">
      <alignment wrapText="1"/>
    </xf>
    <xf numFmtId="9" fontId="0" fillId="0" borderId="0" xfId="0" applyNumberFormat="1" applyAlignment="1">
      <alignment horizontal="center"/>
    </xf>
    <xf numFmtId="9" fontId="19" fillId="0" borderId="0" xfId="1" applyNumberFormat="1" applyFont="1" applyBorder="1" applyAlignment="1">
      <alignment horizontal="center"/>
    </xf>
    <xf numFmtId="165" fontId="19" fillId="0" borderId="0" xfId="1" applyNumberFormat="1" applyFont="1" applyBorder="1" applyAlignment="1">
      <alignment horizontal="center"/>
    </xf>
    <xf numFmtId="9" fontId="8" fillId="0" borderId="0" xfId="1" applyNumberFormat="1" applyFont="1" applyFill="1" applyBorder="1" applyAlignment="1">
      <alignment horizontal="center"/>
    </xf>
    <xf numFmtId="9" fontId="9" fillId="2" borderId="5" xfId="1" applyNumberFormat="1" applyFont="1" applyFill="1" applyBorder="1" applyAlignment="1">
      <alignment horizontal="center"/>
    </xf>
    <xf numFmtId="9" fontId="9" fillId="4" borderId="5" xfId="1" applyNumberFormat="1" applyFont="1" applyFill="1" applyBorder="1" applyAlignment="1">
      <alignment horizontal="center"/>
    </xf>
    <xf numFmtId="0" fontId="12" fillId="0" borderId="39" xfId="284" applyNumberFormat="1" applyFont="1" applyFill="1" applyBorder="1" applyAlignment="1">
      <alignment horizontal="center"/>
    </xf>
    <xf numFmtId="49" fontId="8" fillId="0" borderId="43" xfId="1" applyNumberFormat="1" applyFont="1" applyFill="1" applyBorder="1" applyAlignment="1">
      <alignment horizontal="left" indent="1"/>
    </xf>
    <xf numFmtId="0" fontId="11" fillId="0" borderId="39" xfId="1" applyNumberFormat="1" applyFont="1" applyFill="1" applyBorder="1" applyAlignment="1">
      <alignment horizontal="center"/>
    </xf>
    <xf numFmtId="165" fontId="9" fillId="3" borderId="5" xfId="1" applyNumberFormat="1" applyFont="1" applyFill="1" applyBorder="1"/>
    <xf numFmtId="165" fontId="26" fillId="0" borderId="0" xfId="1" applyNumberFormat="1" applyFont="1" applyFill="1" applyBorder="1"/>
    <xf numFmtId="165" fontId="24" fillId="0" borderId="0" xfId="1" applyNumberFormat="1" applyFont="1" applyFill="1" applyBorder="1"/>
    <xf numFmtId="0" fontId="28" fillId="0" borderId="0" xfId="0" applyFont="1"/>
    <xf numFmtId="49" fontId="27" fillId="3" borderId="16" xfId="7" applyNumberFormat="1" applyFont="1" applyFill="1" applyBorder="1" applyAlignment="1">
      <alignment wrapText="1"/>
    </xf>
    <xf numFmtId="165" fontId="22" fillId="0" borderId="0" xfId="1" applyNumberFormat="1" applyFont="1" applyFill="1" applyBorder="1"/>
    <xf numFmtId="49" fontId="19" fillId="3" borderId="13" xfId="7" applyNumberFormat="1" applyFont="1" applyFill="1" applyBorder="1" applyAlignment="1">
      <alignment wrapText="1"/>
    </xf>
    <xf numFmtId="49" fontId="9" fillId="3" borderId="24" xfId="1" applyNumberFormat="1" applyFont="1" applyFill="1" applyBorder="1" applyAlignment="1">
      <alignment wrapText="1"/>
    </xf>
    <xf numFmtId="49" fontId="22" fillId="0" borderId="11" xfId="1" applyNumberFormat="1" applyFont="1" applyFill="1" applyBorder="1" applyAlignment="1">
      <alignment horizontal="left" indent="1"/>
    </xf>
    <xf numFmtId="49" fontId="8" fillId="0" borderId="4" xfId="1" applyNumberFormat="1" applyFont="1" applyFill="1" applyBorder="1" applyAlignment="1">
      <alignment horizontal="left" indent="1"/>
    </xf>
    <xf numFmtId="165" fontId="24" fillId="3" borderId="19" xfId="1" applyNumberFormat="1" applyFont="1" applyFill="1" applyBorder="1"/>
    <xf numFmtId="166" fontId="25" fillId="7" borderId="0" xfId="0" applyNumberFormat="1" applyFont="1" applyFill="1"/>
    <xf numFmtId="167" fontId="25" fillId="7" borderId="0" xfId="0" applyNumberFormat="1" applyFont="1" applyFill="1"/>
    <xf numFmtId="2" fontId="32" fillId="7" borderId="0" xfId="0" applyNumberFormat="1" applyFont="1" applyFill="1"/>
    <xf numFmtId="49" fontId="22" fillId="0" borderId="11" xfId="1" applyNumberFormat="1" applyFont="1" applyFill="1" applyBorder="1" applyAlignment="1">
      <alignment horizontal="left" wrapText="1" indent="1"/>
    </xf>
    <xf numFmtId="165" fontId="33" fillId="0" borderId="4" xfId="1" applyNumberFormat="1" applyFont="1" applyFill="1" applyBorder="1" applyAlignment="1">
      <alignment horizontal="center"/>
    </xf>
    <xf numFmtId="165" fontId="26" fillId="0" borderId="0" xfId="1" applyNumberFormat="1" applyFont="1" applyFill="1" applyBorder="1" applyAlignment="1">
      <alignment horizontal="center"/>
    </xf>
    <xf numFmtId="165" fontId="35" fillId="0" borderId="0" xfId="1" applyNumberFormat="1" applyFont="1" applyFill="1" applyBorder="1"/>
    <xf numFmtId="0" fontId="36" fillId="0" borderId="0" xfId="0" applyFont="1"/>
    <xf numFmtId="165" fontId="9" fillId="0" borderId="0" xfId="1" applyNumberFormat="1" applyFont="1" applyFill="1" applyBorder="1" applyAlignment="1">
      <alignment horizontal="center"/>
    </xf>
    <xf numFmtId="165" fontId="34" fillId="0" borderId="0" xfId="1" applyNumberFormat="1" applyFont="1" applyFill="1" applyBorder="1"/>
    <xf numFmtId="9" fontId="8" fillId="0" borderId="0" xfId="6" applyFont="1" applyFill="1" applyBorder="1" applyAlignment="1">
      <alignment horizontal="center"/>
    </xf>
    <xf numFmtId="9" fontId="9" fillId="0" borderId="4" xfId="6" applyFont="1" applyFill="1" applyBorder="1" applyAlignment="1">
      <alignment horizontal="center"/>
    </xf>
    <xf numFmtId="9" fontId="9" fillId="0" borderId="0" xfId="6" applyFont="1" applyFill="1" applyBorder="1" applyAlignment="1">
      <alignment horizontal="center"/>
    </xf>
    <xf numFmtId="9" fontId="8" fillId="0" borderId="4" xfId="6" applyFont="1" applyFill="1" applyBorder="1" applyAlignment="1">
      <alignment horizontal="center"/>
    </xf>
    <xf numFmtId="9" fontId="9" fillId="0" borderId="5" xfId="6" applyFont="1" applyFill="1" applyBorder="1" applyAlignment="1">
      <alignment horizontal="center"/>
    </xf>
    <xf numFmtId="9" fontId="9" fillId="2" borderId="5" xfId="6" applyFont="1" applyFill="1" applyBorder="1" applyAlignment="1">
      <alignment horizontal="center"/>
    </xf>
    <xf numFmtId="165" fontId="9" fillId="0" borderId="4" xfId="1" applyNumberFormat="1" applyFont="1" applyFill="1" applyBorder="1" applyAlignment="1">
      <alignment horizontal="left" indent="1"/>
    </xf>
    <xf numFmtId="165" fontId="33" fillId="3" borderId="5" xfId="1" applyNumberFormat="1" applyFont="1" applyFill="1" applyBorder="1" applyAlignment="1">
      <alignment horizontal="left" indent="1"/>
    </xf>
    <xf numFmtId="9" fontId="9" fillId="2" borderId="19" xfId="1" applyNumberFormat="1" applyFont="1" applyFill="1" applyBorder="1" applyAlignment="1">
      <alignment horizontal="center"/>
    </xf>
    <xf numFmtId="164" fontId="8" fillId="0" borderId="0" xfId="1" applyFont="1" applyFill="1" applyBorder="1"/>
    <xf numFmtId="164" fontId="35" fillId="0" borderId="0" xfId="1" applyFont="1" applyFill="1" applyBorder="1"/>
    <xf numFmtId="164" fontId="26" fillId="0" borderId="0" xfId="1" applyFont="1" applyFill="1" applyBorder="1"/>
    <xf numFmtId="49" fontId="8" fillId="0" borderId="0" xfId="1" applyNumberFormat="1" applyFont="1" applyFill="1" applyBorder="1" applyAlignment="1">
      <alignment horizontal="left" indent="1"/>
    </xf>
    <xf numFmtId="49" fontId="38" fillId="0" borderId="2" xfId="1" applyNumberFormat="1" applyFont="1" applyFill="1" applyBorder="1" applyAlignment="1">
      <alignment horizontal="left" indent="1"/>
    </xf>
    <xf numFmtId="165" fontId="38" fillId="0" borderId="0" xfId="1" applyNumberFormat="1" applyFont="1" applyFill="1" applyBorder="1" applyAlignment="1">
      <alignment horizontal="left" indent="1"/>
    </xf>
    <xf numFmtId="165" fontId="38" fillId="0" borderId="0" xfId="1" applyNumberFormat="1" applyFont="1" applyFill="1" applyBorder="1" applyAlignment="1">
      <alignment horizontal="center"/>
    </xf>
    <xf numFmtId="165" fontId="38" fillId="0" borderId="0" xfId="1" applyNumberFormat="1" applyFont="1" applyFill="1" applyBorder="1"/>
    <xf numFmtId="9" fontId="38" fillId="0" borderId="0" xfId="1" applyNumberFormat="1" applyFont="1" applyFill="1" applyBorder="1" applyAlignment="1">
      <alignment horizontal="center"/>
    </xf>
    <xf numFmtId="0" fontId="37" fillId="0" borderId="14" xfId="1" applyNumberFormat="1" applyFont="1" applyFill="1" applyBorder="1" applyAlignment="1">
      <alignment horizontal="center"/>
    </xf>
    <xf numFmtId="0" fontId="39" fillId="0" borderId="0" xfId="0" applyFont="1"/>
    <xf numFmtId="0" fontId="40" fillId="0" borderId="0" xfId="0" applyFont="1" applyAlignment="1">
      <alignment vertical="center"/>
    </xf>
    <xf numFmtId="0" fontId="0" fillId="0" borderId="50" xfId="0" applyBorder="1" applyAlignment="1">
      <alignment vertical="center"/>
    </xf>
    <xf numFmtId="164" fontId="0" fillId="0" borderId="0" xfId="1" applyFont="1"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0" fillId="0" borderId="8" xfId="0" applyBorder="1" applyAlignment="1">
      <alignment horizontal="center" vertical="center"/>
    </xf>
    <xf numFmtId="164" fontId="0" fillId="0" borderId="51" xfId="1" applyFont="1" applyBorder="1" applyAlignment="1">
      <alignment horizontal="center" vertical="center"/>
    </xf>
    <xf numFmtId="17" fontId="0" fillId="0" borderId="51" xfId="0" applyNumberFormat="1" applyBorder="1" applyAlignment="1">
      <alignment vertical="center" wrapText="1"/>
    </xf>
    <xf numFmtId="14" fontId="0" fillId="0" borderId="0" xfId="0" applyNumberFormat="1" applyAlignment="1">
      <alignment horizontal="left" vertical="center"/>
    </xf>
    <xf numFmtId="14" fontId="0" fillId="0" borderId="0" xfId="0" applyNumberFormat="1" applyAlignment="1">
      <alignment horizontal="center" vertical="center"/>
    </xf>
    <xf numFmtId="0" fontId="0" fillId="0" borderId="11" xfId="0" applyBorder="1" applyAlignment="1">
      <alignment vertical="center" wrapText="1"/>
    </xf>
    <xf numFmtId="8" fontId="0" fillId="0" borderId="0" xfId="0" applyNumberFormat="1" applyAlignment="1">
      <alignment horizontal="center" vertical="center" wrapText="1"/>
    </xf>
    <xf numFmtId="0" fontId="0" fillId="0" borderId="51" xfId="0" applyBorder="1" applyAlignment="1">
      <alignment vertical="center"/>
    </xf>
    <xf numFmtId="0" fontId="0" fillId="0" borderId="9" xfId="0" applyBorder="1" applyAlignment="1">
      <alignment horizontal="center" vertical="center" wrapText="1"/>
    </xf>
    <xf numFmtId="17" fontId="25" fillId="0" borderId="51" xfId="0" applyNumberFormat="1" applyFont="1" applyBorder="1" applyAlignment="1">
      <alignment vertical="center" wrapText="1"/>
    </xf>
    <xf numFmtId="164" fontId="25" fillId="0" borderId="0" xfId="1" applyFont="1" applyBorder="1" applyAlignment="1">
      <alignment horizontal="center" vertical="center"/>
    </xf>
    <xf numFmtId="15" fontId="25" fillId="0" borderId="0" xfId="0" applyNumberFormat="1" applyFont="1" applyAlignment="1">
      <alignment horizontal="center" vertical="center"/>
    </xf>
    <xf numFmtId="0" fontId="25" fillId="0" borderId="11" xfId="0" applyFont="1" applyBorder="1" applyAlignment="1">
      <alignment horizontal="center" vertical="center" wrapText="1"/>
    </xf>
    <xf numFmtId="0" fontId="25" fillId="0" borderId="0" xfId="0" applyFont="1" applyAlignment="1">
      <alignment horizontal="center" vertical="center"/>
    </xf>
    <xf numFmtId="0" fontId="25" fillId="0" borderId="51" xfId="0" applyFont="1" applyBorder="1" applyAlignment="1">
      <alignment vertical="center"/>
    </xf>
    <xf numFmtId="0" fontId="25" fillId="0" borderId="51" xfId="0" applyFont="1" applyBorder="1" applyAlignment="1">
      <alignment horizontal="center" vertical="center"/>
    </xf>
    <xf numFmtId="165" fontId="24" fillId="0" borderId="4" xfId="1" applyNumberFormat="1" applyFont="1" applyFill="1" applyBorder="1" applyAlignment="1">
      <alignment horizontal="center"/>
    </xf>
    <xf numFmtId="164" fontId="42" fillId="0" borderId="11" xfId="1" applyFont="1" applyBorder="1" applyAlignment="1">
      <alignment horizontal="center" vertical="center"/>
    </xf>
    <xf numFmtId="164" fontId="42" fillId="0" borderId="51" xfId="1" applyFont="1" applyBorder="1" applyAlignment="1">
      <alignment horizontal="center" vertical="center"/>
    </xf>
    <xf numFmtId="164" fontId="43" fillId="0" borderId="51" xfId="1" applyFont="1" applyBorder="1" applyAlignment="1">
      <alignment horizontal="center" vertical="center"/>
    </xf>
    <xf numFmtId="4" fontId="42" fillId="0" borderId="51" xfId="0" applyNumberFormat="1" applyFont="1" applyBorder="1" applyAlignment="1">
      <alignment horizontal="center" vertical="center"/>
    </xf>
    <xf numFmtId="4" fontId="42" fillId="0" borderId="11" xfId="0" applyNumberFormat="1" applyFont="1" applyBorder="1" applyAlignment="1">
      <alignment horizontal="center" vertical="center"/>
    </xf>
    <xf numFmtId="0" fontId="42" fillId="0" borderId="50" xfId="0" applyFont="1" applyBorder="1" applyAlignment="1">
      <alignment horizontal="center" vertical="center"/>
    </xf>
    <xf numFmtId="0" fontId="42" fillId="0" borderId="51" xfId="0" applyFont="1" applyBorder="1" applyAlignment="1">
      <alignment vertical="center" wrapText="1"/>
    </xf>
    <xf numFmtId="0" fontId="42" fillId="0" borderId="51" xfId="0" applyFont="1" applyBorder="1" applyAlignment="1">
      <alignment vertical="center"/>
    </xf>
    <xf numFmtId="0" fontId="42" fillId="0" borderId="51" xfId="0" applyFont="1" applyBorder="1" applyAlignment="1">
      <alignment horizontal="center" vertical="center"/>
    </xf>
    <xf numFmtId="0" fontId="46" fillId="0" borderId="0" xfId="0" applyFont="1"/>
    <xf numFmtId="165" fontId="45" fillId="0" borderId="0" xfId="1" applyNumberFormat="1" applyFont="1" applyFill="1" applyBorder="1" applyAlignment="1">
      <alignment horizontal="left" indent="1"/>
    </xf>
    <xf numFmtId="9" fontId="45" fillId="0" borderId="0" xfId="1" applyNumberFormat="1" applyFont="1" applyFill="1" applyBorder="1" applyAlignment="1">
      <alignment horizontal="center"/>
    </xf>
    <xf numFmtId="0" fontId="44" fillId="0" borderId="21" xfId="1" applyNumberFormat="1" applyFont="1" applyFill="1" applyBorder="1" applyAlignment="1">
      <alignment horizontal="center"/>
    </xf>
    <xf numFmtId="49" fontId="44" fillId="0" borderId="0" xfId="1" applyNumberFormat="1" applyFont="1" applyFill="1" applyBorder="1" applyAlignment="1">
      <alignment horizontal="left" indent="1"/>
    </xf>
    <xf numFmtId="166" fontId="36" fillId="0" borderId="11" xfId="0" applyNumberFormat="1" applyFont="1" applyBorder="1" applyAlignment="1">
      <alignment horizontal="center" vertical="center"/>
    </xf>
    <xf numFmtId="2" fontId="0" fillId="0" borderId="0" xfId="0" applyNumberFormat="1" applyAlignment="1">
      <alignment vertical="center" wrapText="1"/>
    </xf>
    <xf numFmtId="0" fontId="0" fillId="0" borderId="0" xfId="0" applyAlignment="1">
      <alignment vertical="center" wrapText="1"/>
    </xf>
    <xf numFmtId="0" fontId="0" fillId="0" borderId="11" xfId="0" applyBorder="1" applyAlignment="1">
      <alignment horizontal="left" vertical="center" wrapText="1"/>
    </xf>
    <xf numFmtId="0" fontId="47" fillId="0" borderId="0" xfId="0" applyFont="1" applyAlignment="1">
      <alignment vertical="center"/>
    </xf>
    <xf numFmtId="164" fontId="43" fillId="0" borderId="0" xfId="1" applyFont="1" applyBorder="1" applyAlignment="1">
      <alignment horizontal="center" vertical="center"/>
    </xf>
    <xf numFmtId="15" fontId="43" fillId="0" borderId="0" xfId="0" applyNumberFormat="1" applyFont="1" applyAlignment="1">
      <alignment horizontal="center" vertical="center"/>
    </xf>
    <xf numFmtId="0" fontId="43" fillId="0" borderId="11" xfId="0" applyFont="1" applyBorder="1" applyAlignment="1">
      <alignment horizontal="center" vertical="center" wrapText="1"/>
    </xf>
    <xf numFmtId="0" fontId="49" fillId="0" borderId="0" xfId="0" applyFont="1"/>
    <xf numFmtId="0" fontId="5" fillId="0" borderId="0" xfId="0" applyFont="1"/>
    <xf numFmtId="164" fontId="51" fillId="0" borderId="51" xfId="1" applyFont="1" applyBorder="1" applyAlignment="1">
      <alignment horizontal="center" vertical="center" wrapText="1"/>
    </xf>
    <xf numFmtId="0" fontId="52" fillId="0" borderId="0" xfId="0" applyFont="1" applyAlignment="1">
      <alignment horizontal="center" vertical="center" wrapText="1"/>
    </xf>
    <xf numFmtId="164" fontId="51" fillId="0" borderId="0" xfId="1" applyFont="1" applyBorder="1" applyAlignment="1">
      <alignment horizontal="center" vertical="center"/>
    </xf>
    <xf numFmtId="0" fontId="51" fillId="0" borderId="0" xfId="0" applyFont="1"/>
    <xf numFmtId="0" fontId="0" fillId="0" borderId="0" xfId="0" applyAlignment="1">
      <alignment horizontal="right"/>
    </xf>
    <xf numFmtId="165" fontId="12" fillId="0" borderId="0" xfId="1" applyNumberFormat="1" applyFont="1" applyFill="1" applyBorder="1" applyAlignment="1">
      <alignment horizontal="right"/>
    </xf>
    <xf numFmtId="0" fontId="0" fillId="0" borderId="0" xfId="0" applyAlignment="1">
      <alignment horizontal="left" wrapText="1"/>
    </xf>
    <xf numFmtId="0" fontId="0" fillId="0" borderId="0" xfId="0" applyAlignment="1">
      <alignment horizontal="left"/>
    </xf>
    <xf numFmtId="0" fontId="0" fillId="0" borderId="51" xfId="0" applyBorder="1"/>
    <xf numFmtId="164" fontId="36" fillId="0" borderId="11" xfId="1" applyFont="1" applyBorder="1" applyAlignment="1">
      <alignment horizontal="center" vertical="center"/>
    </xf>
    <xf numFmtId="0" fontId="36" fillId="0" borderId="14" xfId="0" applyFont="1" applyBorder="1" applyAlignment="1">
      <alignment horizontal="left" vertical="center" wrapText="1"/>
    </xf>
    <xf numFmtId="2" fontId="36" fillId="0" borderId="0" xfId="0" applyNumberFormat="1" applyFont="1" applyAlignment="1">
      <alignment vertical="center" wrapText="1"/>
    </xf>
    <xf numFmtId="0" fontId="36" fillId="0" borderId="0" xfId="0" applyFont="1" applyAlignment="1">
      <alignment horizontal="center" vertical="center"/>
    </xf>
    <xf numFmtId="164" fontId="36" fillId="0" borderId="0" xfId="1" applyFont="1" applyBorder="1" applyAlignment="1">
      <alignment horizontal="center" vertical="center"/>
    </xf>
    <xf numFmtId="0" fontId="57" fillId="0" borderId="14" xfId="0" applyFont="1" applyBorder="1" applyAlignment="1">
      <alignment horizontal="left" vertical="center" wrapText="1"/>
    </xf>
    <xf numFmtId="2" fontId="57" fillId="0" borderId="0" xfId="0" applyNumberFormat="1" applyFont="1" applyAlignment="1">
      <alignment vertical="center" wrapText="1"/>
    </xf>
    <xf numFmtId="4" fontId="57" fillId="0" borderId="0" xfId="0" applyNumberFormat="1" applyFont="1" applyAlignment="1">
      <alignment horizontal="center" vertical="center"/>
    </xf>
    <xf numFmtId="4" fontId="57" fillId="0" borderId="11" xfId="0" applyNumberFormat="1" applyFont="1" applyBorder="1" applyAlignment="1">
      <alignment horizontal="center" vertical="center"/>
    </xf>
    <xf numFmtId="4" fontId="57" fillId="0" borderId="51" xfId="0" applyNumberFormat="1" applyFont="1" applyBorder="1" applyAlignment="1">
      <alignment wrapText="1"/>
    </xf>
    <xf numFmtId="14" fontId="41" fillId="8" borderId="52" xfId="0" applyNumberFormat="1" applyFont="1" applyFill="1" applyBorder="1"/>
    <xf numFmtId="0" fontId="41" fillId="8" borderId="23" xfId="0" applyFont="1" applyFill="1" applyBorder="1" applyAlignment="1">
      <alignment horizontal="center"/>
    </xf>
    <xf numFmtId="0" fontId="41" fillId="8" borderId="24" xfId="0" applyFont="1" applyFill="1" applyBorder="1" applyAlignment="1">
      <alignment horizontal="center" wrapText="1"/>
    </xf>
    <xf numFmtId="0" fontId="41" fillId="8" borderId="23" xfId="0" applyFont="1" applyFill="1" applyBorder="1" applyAlignment="1">
      <alignment horizontal="center" wrapText="1"/>
    </xf>
    <xf numFmtId="0" fontId="53" fillId="8" borderId="52" xfId="0" applyFont="1" applyFill="1" applyBorder="1" applyAlignment="1">
      <alignment horizontal="center"/>
    </xf>
    <xf numFmtId="164" fontId="59" fillId="8" borderId="52" xfId="1" applyFont="1" applyFill="1" applyBorder="1" applyAlignment="1">
      <alignment horizontal="center"/>
    </xf>
    <xf numFmtId="164" fontId="53" fillId="8" borderId="24" xfId="1" applyFont="1" applyFill="1" applyBorder="1" applyAlignment="1">
      <alignment horizontal="center"/>
    </xf>
    <xf numFmtId="0" fontId="41" fillId="8" borderId="36" xfId="0" applyFont="1" applyFill="1" applyBorder="1" applyAlignment="1">
      <alignment vertical="center" wrapText="1"/>
    </xf>
    <xf numFmtId="0" fontId="53" fillId="8" borderId="49" xfId="0" applyFont="1" applyFill="1" applyBorder="1" applyAlignment="1">
      <alignment horizontal="center" vertical="center" wrapText="1"/>
    </xf>
    <xf numFmtId="0" fontId="58" fillId="8" borderId="49" xfId="0" applyFont="1" applyFill="1" applyBorder="1" applyAlignment="1">
      <alignment horizontal="center" vertical="center" wrapText="1"/>
    </xf>
    <xf numFmtId="0" fontId="41" fillId="8" borderId="37" xfId="0" applyFont="1" applyFill="1" applyBorder="1" applyAlignment="1">
      <alignment horizontal="center" vertical="center" wrapText="1"/>
    </xf>
    <xf numFmtId="0" fontId="41" fillId="8" borderId="36" xfId="0" applyFont="1" applyFill="1" applyBorder="1" applyAlignment="1">
      <alignment horizontal="center" vertical="center" wrapText="1"/>
    </xf>
    <xf numFmtId="15" fontId="36" fillId="0" borderId="0" xfId="0" applyNumberFormat="1" applyFont="1" applyAlignment="1">
      <alignment horizontal="center" vertical="center"/>
    </xf>
    <xf numFmtId="0" fontId="36" fillId="0" borderId="11" xfId="0" applyFont="1" applyBorder="1" applyAlignment="1">
      <alignment horizontal="center" vertical="center" wrapText="1"/>
    </xf>
    <xf numFmtId="14" fontId="53" fillId="8" borderId="52" xfId="0" applyNumberFormat="1" applyFont="1" applyFill="1" applyBorder="1" applyAlignment="1">
      <alignment vertical="center"/>
    </xf>
    <xf numFmtId="164" fontId="53" fillId="8" borderId="24" xfId="1" applyFont="1" applyFill="1" applyBorder="1" applyAlignment="1">
      <alignment horizontal="center" vertical="center"/>
    </xf>
    <xf numFmtId="164" fontId="53" fillId="8" borderId="52" xfId="1" applyFont="1" applyFill="1" applyBorder="1" applyAlignment="1">
      <alignment horizontal="center" vertical="center"/>
    </xf>
    <xf numFmtId="0" fontId="53" fillId="8" borderId="23" xfId="0" applyFont="1" applyFill="1" applyBorder="1" applyAlignment="1">
      <alignment horizontal="center" vertical="center"/>
    </xf>
    <xf numFmtId="0" fontId="53" fillId="8" borderId="23" xfId="0" applyFont="1" applyFill="1" applyBorder="1" applyAlignment="1">
      <alignment horizontal="center" vertical="center" wrapText="1"/>
    </xf>
    <xf numFmtId="0" fontId="53" fillId="8" borderId="22" xfId="0" applyFont="1" applyFill="1" applyBorder="1" applyAlignment="1">
      <alignment horizontal="center" vertical="center" wrapText="1"/>
    </xf>
    <xf numFmtId="2" fontId="53" fillId="8" borderId="23" xfId="1" applyNumberFormat="1" applyFont="1" applyFill="1" applyBorder="1" applyAlignment="1">
      <alignment horizontal="center" vertical="center"/>
    </xf>
    <xf numFmtId="43" fontId="53" fillId="8" borderId="24" xfId="0" applyNumberFormat="1" applyFont="1" applyFill="1" applyBorder="1" applyAlignment="1">
      <alignment horizontal="center" vertical="center"/>
    </xf>
    <xf numFmtId="164" fontId="58" fillId="8" borderId="52" xfId="1" applyFont="1" applyFill="1" applyBorder="1" applyAlignment="1">
      <alignment horizontal="center"/>
    </xf>
    <xf numFmtId="164" fontId="58" fillId="8" borderId="52" xfId="1" applyFont="1" applyFill="1" applyBorder="1" applyAlignment="1">
      <alignment horizontal="center" vertical="center"/>
    </xf>
    <xf numFmtId="165" fontId="45" fillId="0" borderId="0" xfId="1" applyNumberFormat="1" applyFont="1" applyFill="1" applyBorder="1" applyAlignment="1">
      <alignment horizontal="center"/>
    </xf>
    <xf numFmtId="164" fontId="53" fillId="9" borderId="23" xfId="1" applyFont="1" applyFill="1" applyBorder="1" applyAlignment="1">
      <alignment horizontal="center" vertical="center"/>
    </xf>
    <xf numFmtId="0" fontId="44" fillId="0" borderId="14" xfId="7" applyFont="1" applyBorder="1" applyAlignment="1">
      <alignment horizontal="center"/>
    </xf>
    <xf numFmtId="0" fontId="44" fillId="0" borderId="2" xfId="7" applyFont="1" applyBorder="1"/>
    <xf numFmtId="49" fontId="45" fillId="0" borderId="11" xfId="1" applyNumberFormat="1" applyFont="1" applyFill="1" applyBorder="1"/>
    <xf numFmtId="49" fontId="45" fillId="0" borderId="11" xfId="7" applyNumberFormat="1" applyFont="1" applyBorder="1"/>
    <xf numFmtId="0" fontId="44" fillId="3" borderId="17" xfId="7" applyFont="1" applyFill="1" applyBorder="1" applyAlignment="1">
      <alignment horizontal="center"/>
    </xf>
    <xf numFmtId="49" fontId="45" fillId="0" borderId="0" xfId="1" applyNumberFormat="1" applyFont="1" applyFill="1" applyBorder="1" applyAlignment="1">
      <alignment horizontal="left" indent="1"/>
    </xf>
    <xf numFmtId="10" fontId="45" fillId="0" borderId="0" xfId="1" applyNumberFormat="1" applyFont="1" applyFill="1" applyBorder="1" applyAlignment="1">
      <alignment horizontal="center"/>
    </xf>
    <xf numFmtId="0" fontId="51" fillId="0" borderId="0" xfId="0" applyFont="1" applyAlignment="1">
      <alignment horizontal="center" vertical="center" wrapText="1"/>
    </xf>
    <xf numFmtId="0" fontId="11" fillId="0" borderId="21" xfId="1" applyNumberFormat="1" applyFont="1" applyFill="1" applyBorder="1" applyAlignment="1">
      <alignment horizontal="center" wrapText="1"/>
    </xf>
    <xf numFmtId="0" fontId="9" fillId="0" borderId="14" xfId="7" applyFont="1" applyBorder="1" applyAlignment="1">
      <alignment horizontal="center"/>
    </xf>
    <xf numFmtId="0" fontId="9" fillId="0" borderId="2" xfId="7" applyFont="1" applyBorder="1"/>
    <xf numFmtId="49" fontId="8" fillId="0" borderId="11" xfId="1" applyNumberFormat="1" applyFont="1" applyFill="1" applyBorder="1"/>
    <xf numFmtId="0" fontId="8" fillId="0" borderId="14" xfId="7" applyFont="1" applyBorder="1" applyAlignment="1">
      <alignment horizontal="center"/>
    </xf>
    <xf numFmtId="0" fontId="8" fillId="0" borderId="2" xfId="7" applyFont="1" applyBorder="1"/>
    <xf numFmtId="49" fontId="8" fillId="0" borderId="0" xfId="1" applyNumberFormat="1" applyFont="1" applyFill="1" applyBorder="1"/>
    <xf numFmtId="0" fontId="9" fillId="0" borderId="6" xfId="7" applyFont="1" applyBorder="1"/>
    <xf numFmtId="49" fontId="9" fillId="0" borderId="48" xfId="1" applyNumberFormat="1" applyFont="1" applyFill="1" applyBorder="1"/>
    <xf numFmtId="0" fontId="9" fillId="4" borderId="41" xfId="7" applyFont="1" applyFill="1" applyBorder="1" applyAlignment="1">
      <alignment horizontal="center"/>
    </xf>
    <xf numFmtId="0" fontId="9" fillId="4" borderId="42" xfId="7" applyFont="1" applyFill="1" applyBorder="1"/>
    <xf numFmtId="49" fontId="8" fillId="4" borderId="25" xfId="1" applyNumberFormat="1" applyFont="1" applyFill="1" applyBorder="1"/>
    <xf numFmtId="0" fontId="9" fillId="4" borderId="22" xfId="7" applyFont="1" applyFill="1" applyBorder="1" applyAlignment="1">
      <alignment horizontal="center"/>
    </xf>
    <xf numFmtId="0" fontId="9" fillId="4" borderId="35" xfId="7" applyFont="1" applyFill="1" applyBorder="1"/>
    <xf numFmtId="49" fontId="8" fillId="4" borderId="20" xfId="1" applyNumberFormat="1" applyFont="1" applyFill="1" applyBorder="1"/>
    <xf numFmtId="0" fontId="62" fillId="4" borderId="36" xfId="0" applyFont="1" applyFill="1" applyBorder="1" applyAlignment="1">
      <alignment horizontal="left"/>
    </xf>
    <xf numFmtId="0" fontId="62" fillId="4" borderId="37" xfId="0" applyFont="1" applyFill="1" applyBorder="1"/>
    <xf numFmtId="17" fontId="9" fillId="3" borderId="37" xfId="0" applyNumberFormat="1" applyFont="1" applyFill="1" applyBorder="1" applyAlignment="1">
      <alignment horizontal="center" wrapText="1"/>
    </xf>
    <xf numFmtId="0" fontId="9" fillId="3" borderId="37" xfId="0" applyFont="1" applyFill="1" applyBorder="1" applyAlignment="1">
      <alignment horizontal="center" wrapText="1"/>
    </xf>
    <xf numFmtId="49" fontId="9" fillId="0" borderId="0" xfId="0" applyNumberFormat="1" applyFont="1" applyAlignment="1">
      <alignment horizontal="left" indent="1"/>
    </xf>
    <xf numFmtId="0" fontId="9" fillId="0" borderId="14" xfId="0" applyFont="1" applyBorder="1" applyAlignment="1">
      <alignment horizontal="center" wrapText="1"/>
    </xf>
    <xf numFmtId="0" fontId="9" fillId="3" borderId="44" xfId="0" applyFont="1" applyFill="1" applyBorder="1" applyAlignment="1">
      <alignment horizontal="center"/>
    </xf>
    <xf numFmtId="49" fontId="9" fillId="3" borderId="45" xfId="0" applyNumberFormat="1" applyFont="1" applyFill="1" applyBorder="1" applyAlignment="1">
      <alignment horizontal="left" indent="1"/>
    </xf>
    <xf numFmtId="165" fontId="8" fillId="3" borderId="45" xfId="1" applyNumberFormat="1" applyFont="1" applyFill="1" applyBorder="1"/>
    <xf numFmtId="0" fontId="9" fillId="4" borderId="15" xfId="0" applyFont="1" applyFill="1" applyBorder="1" applyAlignment="1">
      <alignment horizontal="center"/>
    </xf>
    <xf numFmtId="49" fontId="9" fillId="4" borderId="5" xfId="0" applyNumberFormat="1" applyFont="1" applyFill="1" applyBorder="1" applyAlignment="1">
      <alignment horizontal="left" indent="1"/>
    </xf>
    <xf numFmtId="0" fontId="36" fillId="0" borderId="0" xfId="0" applyFont="1" applyAlignment="1">
      <alignment horizontal="center"/>
    </xf>
    <xf numFmtId="0" fontId="9" fillId="4" borderId="36" xfId="0" applyFont="1" applyFill="1" applyBorder="1" applyAlignment="1">
      <alignment horizontal="center"/>
    </xf>
    <xf numFmtId="49" fontId="9" fillId="4" borderId="37" xfId="0" applyNumberFormat="1" applyFont="1" applyFill="1" applyBorder="1" applyAlignment="1">
      <alignment horizontal="left" indent="1"/>
    </xf>
    <xf numFmtId="165" fontId="9" fillId="3" borderId="37" xfId="1" applyNumberFormat="1" applyFont="1" applyFill="1" applyBorder="1"/>
    <xf numFmtId="0" fontId="8" fillId="0" borderId="21" xfId="1" applyNumberFormat="1" applyFont="1" applyFill="1" applyBorder="1" applyAlignment="1">
      <alignment horizontal="center"/>
    </xf>
    <xf numFmtId="0" fontId="9" fillId="4" borderId="30" xfId="1" applyNumberFormat="1" applyFont="1" applyFill="1" applyBorder="1" applyAlignment="1">
      <alignment horizontal="center"/>
    </xf>
    <xf numFmtId="49" fontId="9" fillId="4" borderId="5" xfId="1" applyNumberFormat="1" applyFont="1" applyFill="1" applyBorder="1" applyAlignment="1">
      <alignment horizontal="left" wrapText="1" indent="1"/>
    </xf>
    <xf numFmtId="165" fontId="9" fillId="4" borderId="5" xfId="1" applyNumberFormat="1" applyFont="1" applyFill="1" applyBorder="1"/>
    <xf numFmtId="165" fontId="9" fillId="3" borderId="5" xfId="1" applyNumberFormat="1" applyFont="1" applyFill="1" applyBorder="1" applyAlignment="1">
      <alignment horizontal="center"/>
    </xf>
    <xf numFmtId="9" fontId="9" fillId="4" borderId="5" xfId="6" applyFont="1" applyFill="1" applyBorder="1" applyAlignment="1">
      <alignment horizontal="center"/>
    </xf>
    <xf numFmtId="0" fontId="8" fillId="2" borderId="33" xfId="1" applyNumberFormat="1" applyFont="1" applyFill="1" applyBorder="1" applyAlignment="1">
      <alignment horizontal="center"/>
    </xf>
    <xf numFmtId="0" fontId="9" fillId="0" borderId="14" xfId="1" applyNumberFormat="1" applyFont="1" applyFill="1" applyBorder="1" applyAlignment="1">
      <alignment horizontal="center"/>
    </xf>
    <xf numFmtId="49" fontId="8" fillId="0" borderId="42" xfId="1" applyNumberFormat="1" applyFont="1" applyFill="1" applyBorder="1" applyAlignment="1">
      <alignment horizontal="left" indent="1"/>
    </xf>
    <xf numFmtId="165" fontId="8" fillId="0" borderId="0" xfId="1" applyNumberFormat="1" applyFont="1" applyFill="1" applyBorder="1" applyAlignment="1">
      <alignment horizontal="right"/>
    </xf>
    <xf numFmtId="0" fontId="9" fillId="3" borderId="30" xfId="1" applyNumberFormat="1" applyFont="1" applyFill="1" applyBorder="1" applyAlignment="1">
      <alignment horizontal="center"/>
    </xf>
    <xf numFmtId="49" fontId="9" fillId="3" borderId="5" xfId="1" applyNumberFormat="1" applyFont="1" applyFill="1" applyBorder="1" applyAlignment="1">
      <alignment horizontal="left" indent="1"/>
    </xf>
    <xf numFmtId="165" fontId="9" fillId="3" borderId="5" xfId="1" applyNumberFormat="1" applyFont="1" applyFill="1" applyBorder="1" applyAlignment="1">
      <alignment horizontal="left" indent="1"/>
    </xf>
    <xf numFmtId="9" fontId="8" fillId="3" borderId="5" xfId="1" applyNumberFormat="1" applyFont="1" applyFill="1" applyBorder="1" applyAlignment="1">
      <alignment horizontal="center"/>
    </xf>
    <xf numFmtId="0" fontId="8" fillId="2" borderId="17" xfId="1" applyNumberFormat="1" applyFont="1" applyFill="1" applyBorder="1" applyAlignment="1">
      <alignment horizontal="center"/>
    </xf>
    <xf numFmtId="0" fontId="43" fillId="0" borderId="0" xfId="0" applyFont="1"/>
    <xf numFmtId="0" fontId="9" fillId="0" borderId="21" xfId="1" applyNumberFormat="1" applyFont="1" applyFill="1" applyBorder="1" applyAlignment="1">
      <alignment horizontal="center"/>
    </xf>
    <xf numFmtId="0" fontId="8" fillId="0" borderId="31" xfId="1" applyNumberFormat="1" applyFont="1" applyFill="1" applyBorder="1" applyAlignment="1">
      <alignment horizontal="center"/>
    </xf>
    <xf numFmtId="0" fontId="9" fillId="3" borderId="35" xfId="7" applyFont="1" applyFill="1" applyBorder="1"/>
    <xf numFmtId="49" fontId="8" fillId="3" borderId="20" xfId="7" applyNumberFormat="1" applyFont="1" applyFill="1" applyBorder="1"/>
    <xf numFmtId="49" fontId="9" fillId="0" borderId="2" xfId="1" applyNumberFormat="1" applyFont="1" applyFill="1" applyBorder="1" applyAlignment="1">
      <alignment horizontal="left" indent="1"/>
    </xf>
    <xf numFmtId="165" fontId="63" fillId="0" borderId="0" xfId="0" applyNumberFormat="1" applyFont="1"/>
    <xf numFmtId="0" fontId="63" fillId="0" borderId="0" xfId="0" applyFont="1"/>
    <xf numFmtId="17" fontId="36" fillId="0" borderId="0" xfId="0" applyNumberFormat="1" applyFont="1" applyAlignment="1">
      <alignment horizontal="center" vertical="center"/>
    </xf>
    <xf numFmtId="164" fontId="41" fillId="9" borderId="23" xfId="1" applyFont="1" applyFill="1" applyBorder="1" applyAlignment="1">
      <alignment horizontal="center"/>
    </xf>
    <xf numFmtId="0" fontId="36" fillId="0" borderId="11" xfId="0" applyFont="1" applyBorder="1" applyAlignment="1">
      <alignment horizontal="left" vertical="center" wrapText="1"/>
    </xf>
    <xf numFmtId="4" fontId="36" fillId="0" borderId="11" xfId="0" applyNumberFormat="1" applyFont="1" applyBorder="1" applyAlignment="1">
      <alignment horizontal="center" vertical="center"/>
    </xf>
    <xf numFmtId="0" fontId="37" fillId="0" borderId="14" xfId="0" applyFont="1" applyBorder="1" applyAlignment="1">
      <alignment horizontal="center"/>
    </xf>
    <xf numFmtId="49" fontId="37" fillId="0" borderId="0" xfId="0" applyNumberFormat="1" applyFont="1" applyAlignment="1">
      <alignment horizontal="left" indent="1"/>
    </xf>
    <xf numFmtId="0" fontId="32" fillId="0" borderId="0" xfId="0" applyFont="1"/>
    <xf numFmtId="0" fontId="32" fillId="0" borderId="0" xfId="0" applyFont="1" applyAlignment="1">
      <alignment horizontal="right"/>
    </xf>
    <xf numFmtId="0" fontId="10" fillId="10" borderId="7" xfId="0" applyFont="1" applyFill="1" applyBorder="1" applyAlignment="1">
      <alignment vertical="center"/>
    </xf>
    <xf numFmtId="0" fontId="10" fillId="10" borderId="8" xfId="0" applyFont="1" applyFill="1" applyBorder="1" applyAlignment="1">
      <alignment horizontal="left" vertical="center" indent="1"/>
    </xf>
    <xf numFmtId="0" fontId="18" fillId="11" borderId="8" xfId="7" applyFont="1" applyFill="1" applyBorder="1"/>
    <xf numFmtId="9" fontId="18" fillId="11" borderId="8" xfId="7" applyNumberFormat="1" applyFont="1" applyFill="1" applyBorder="1" applyAlignment="1">
      <alignment horizontal="center"/>
    </xf>
    <xf numFmtId="0" fontId="18" fillId="11" borderId="8" xfId="7" applyFont="1" applyFill="1" applyBorder="1" applyAlignment="1">
      <alignment horizontal="center"/>
    </xf>
    <xf numFmtId="0" fontId="18" fillId="11" borderId="9" xfId="7" applyFont="1" applyFill="1" applyBorder="1"/>
    <xf numFmtId="0" fontId="10" fillId="10" borderId="14" xfId="0" applyFont="1" applyFill="1" applyBorder="1" applyAlignment="1">
      <alignment vertical="center"/>
    </xf>
    <xf numFmtId="0" fontId="10" fillId="10" borderId="0" xfId="0" applyFont="1" applyFill="1" applyAlignment="1">
      <alignment horizontal="left" vertical="center" indent="1"/>
    </xf>
    <xf numFmtId="0" fontId="11" fillId="10" borderId="0" xfId="0" applyFont="1" applyFill="1" applyAlignment="1">
      <alignment horizontal="center" vertical="center"/>
    </xf>
    <xf numFmtId="0" fontId="12" fillId="10" borderId="0" xfId="0" applyFont="1" applyFill="1"/>
    <xf numFmtId="0" fontId="12" fillId="10" borderId="0" xfId="0" applyFont="1" applyFill="1" applyAlignment="1">
      <alignment horizontal="center"/>
    </xf>
    <xf numFmtId="9" fontId="12" fillId="10" borderId="0" xfId="0" applyNumberFormat="1" applyFont="1" applyFill="1" applyAlignment="1">
      <alignment horizontal="center"/>
    </xf>
    <xf numFmtId="0" fontId="18" fillId="11" borderId="11" xfId="7" applyFont="1" applyFill="1" applyBorder="1"/>
    <xf numFmtId="0" fontId="11" fillId="10" borderId="22" xfId="0" applyFont="1" applyFill="1" applyBorder="1" applyAlignment="1">
      <alignment horizontal="center" wrapText="1"/>
    </xf>
    <xf numFmtId="0" fontId="11" fillId="10" borderId="23" xfId="0" applyFont="1" applyFill="1" applyBorder="1" applyAlignment="1">
      <alignment horizontal="left" wrapText="1" indent="1"/>
    </xf>
    <xf numFmtId="0" fontId="9" fillId="10" borderId="23" xfId="0" applyFont="1" applyFill="1" applyBorder="1" applyAlignment="1">
      <alignment horizontal="center" wrapText="1"/>
    </xf>
    <xf numFmtId="9" fontId="9" fillId="10" borderId="23" xfId="0" applyNumberFormat="1" applyFont="1" applyFill="1" applyBorder="1" applyAlignment="1">
      <alignment horizontal="center" wrapText="1"/>
    </xf>
    <xf numFmtId="0" fontId="18" fillId="11" borderId="24" xfId="7" applyFont="1" applyFill="1" applyBorder="1"/>
    <xf numFmtId="0" fontId="29" fillId="10" borderId="7" xfId="0" applyFont="1" applyFill="1" applyBorder="1" applyAlignment="1">
      <alignment vertical="center"/>
    </xf>
    <xf numFmtId="0" fontId="29" fillId="10" borderId="8" xfId="0" applyFont="1" applyFill="1" applyBorder="1" applyAlignment="1">
      <alignment horizontal="left" vertical="center" indent="1"/>
    </xf>
    <xf numFmtId="0" fontId="9" fillId="10" borderId="8" xfId="0" applyFont="1" applyFill="1" applyBorder="1" applyAlignment="1">
      <alignment horizontal="center" vertical="center"/>
    </xf>
    <xf numFmtId="0" fontId="8" fillId="10" borderId="8" xfId="0" applyFont="1" applyFill="1" applyBorder="1" applyAlignment="1">
      <alignment horizontal="right"/>
    </xf>
    <xf numFmtId="0" fontId="8" fillId="10" borderId="8" xfId="0" applyFont="1" applyFill="1" applyBorder="1" applyAlignment="1">
      <alignment horizontal="center"/>
    </xf>
    <xf numFmtId="0" fontId="8" fillId="10" borderId="9" xfId="0" applyFont="1" applyFill="1" applyBorder="1" applyAlignment="1">
      <alignment horizontal="left" wrapText="1" indent="1"/>
    </xf>
    <xf numFmtId="0" fontId="29" fillId="10" borderId="10" xfId="0" applyFont="1" applyFill="1" applyBorder="1" applyAlignment="1">
      <alignment vertical="center"/>
    </xf>
    <xf numFmtId="0" fontId="29" fillId="10" borderId="0" xfId="0" applyFont="1" applyFill="1" applyAlignment="1">
      <alignment horizontal="left" vertical="center" indent="1"/>
    </xf>
    <xf numFmtId="0" fontId="60" fillId="10" borderId="0" xfId="0" applyFont="1" applyFill="1" applyAlignment="1">
      <alignment horizontal="left" vertical="center" indent="1"/>
    </xf>
    <xf numFmtId="0" fontId="9" fillId="10" borderId="0" xfId="0" applyFont="1" applyFill="1" applyAlignment="1">
      <alignment horizontal="center" vertical="center"/>
    </xf>
    <xf numFmtId="0" fontId="8" fillId="10" borderId="0" xfId="0" applyFont="1" applyFill="1" applyAlignment="1">
      <alignment horizontal="right"/>
    </xf>
    <xf numFmtId="0" fontId="30" fillId="10" borderId="0" xfId="0" applyFont="1" applyFill="1" applyAlignment="1">
      <alignment horizontal="center"/>
    </xf>
    <xf numFmtId="0" fontId="8" fillId="10" borderId="11" xfId="0" applyFont="1" applyFill="1" applyBorder="1" applyAlignment="1">
      <alignment horizontal="left" wrapText="1" indent="1"/>
    </xf>
    <xf numFmtId="0" fontId="9" fillId="10" borderId="22" xfId="0" applyFont="1" applyFill="1" applyBorder="1" applyAlignment="1">
      <alignment horizontal="center" wrapText="1"/>
    </xf>
    <xf numFmtId="49" fontId="9" fillId="10" borderId="23" xfId="0" applyNumberFormat="1" applyFont="1" applyFill="1" applyBorder="1" applyAlignment="1">
      <alignment horizontal="left" wrapText="1" indent="1"/>
    </xf>
    <xf numFmtId="0" fontId="9" fillId="10" borderId="23" xfId="0" applyFont="1" applyFill="1" applyBorder="1" applyAlignment="1">
      <alignment horizontal="right" wrapText="1"/>
    </xf>
    <xf numFmtId="49" fontId="9" fillId="10" borderId="24" xfId="0" applyNumberFormat="1" applyFont="1" applyFill="1" applyBorder="1" applyAlignment="1">
      <alignment horizontal="left" wrapText="1" indent="1"/>
    </xf>
    <xf numFmtId="0" fontId="10" fillId="10" borderId="26" xfId="0" applyFont="1" applyFill="1" applyBorder="1" applyAlignment="1">
      <alignment horizontal="left" vertical="center" indent="1"/>
    </xf>
    <xf numFmtId="0" fontId="11" fillId="10" borderId="8" xfId="0" applyFont="1" applyFill="1" applyBorder="1" applyAlignment="1">
      <alignment horizontal="center" vertical="center"/>
    </xf>
    <xf numFmtId="0" fontId="12" fillId="10" borderId="8" xfId="0" applyFont="1" applyFill="1" applyBorder="1"/>
    <xf numFmtId="0" fontId="12" fillId="10" borderId="8" xfId="1" applyNumberFormat="1" applyFont="1" applyFill="1" applyBorder="1" applyAlignment="1">
      <alignment horizontal="center"/>
    </xf>
    <xf numFmtId="0" fontId="12" fillId="10" borderId="9" xfId="0" applyFont="1" applyFill="1" applyBorder="1" applyAlignment="1">
      <alignment horizontal="left" indent="1"/>
    </xf>
    <xf numFmtId="0" fontId="10" fillId="10" borderId="10" xfId="0" applyFont="1" applyFill="1" applyBorder="1" applyAlignment="1">
      <alignment vertical="center"/>
    </xf>
    <xf numFmtId="0" fontId="10" fillId="10" borderId="1" xfId="0" applyFont="1" applyFill="1" applyBorder="1" applyAlignment="1">
      <alignment horizontal="left" vertical="center" indent="1"/>
    </xf>
    <xf numFmtId="0" fontId="12" fillId="10" borderId="0" xfId="1" applyNumberFormat="1" applyFont="1" applyFill="1" applyBorder="1" applyAlignment="1">
      <alignment horizontal="center"/>
    </xf>
    <xf numFmtId="0" fontId="21" fillId="10" borderId="0" xfId="0" applyFont="1" applyFill="1" applyAlignment="1">
      <alignment horizontal="center"/>
    </xf>
    <xf numFmtId="0" fontId="12" fillId="10" borderId="11" xfId="0" applyFont="1" applyFill="1" applyBorder="1" applyAlignment="1">
      <alignment horizontal="left" indent="1"/>
    </xf>
    <xf numFmtId="0" fontId="23" fillId="11" borderId="22" xfId="0" applyFont="1" applyFill="1" applyBorder="1" applyAlignment="1">
      <alignment horizontal="left"/>
    </xf>
    <xf numFmtId="0" fontId="23" fillId="11" borderId="23" xfId="0" applyFont="1" applyFill="1" applyBorder="1"/>
    <xf numFmtId="17" fontId="20" fillId="11" borderId="23" xfId="0" applyNumberFormat="1" applyFont="1" applyFill="1" applyBorder="1" applyAlignment="1">
      <alignment horizontal="center" wrapText="1"/>
    </xf>
    <xf numFmtId="0" fontId="20" fillId="11" borderId="23" xfId="0" applyFont="1" applyFill="1" applyBorder="1" applyAlignment="1">
      <alignment horizontal="center" wrapText="1"/>
    </xf>
    <xf numFmtId="49" fontId="20" fillId="11" borderId="24" xfId="0" applyNumberFormat="1" applyFont="1" applyFill="1" applyBorder="1" applyAlignment="1">
      <alignment horizontal="left" indent="1"/>
    </xf>
    <xf numFmtId="0" fontId="0" fillId="11" borderId="8" xfId="0" applyFill="1" applyBorder="1"/>
    <xf numFmtId="0" fontId="0" fillId="11" borderId="9" xfId="0" applyFill="1" applyBorder="1"/>
    <xf numFmtId="0" fontId="23" fillId="11" borderId="47" xfId="0" applyFont="1" applyFill="1" applyBorder="1" applyAlignment="1">
      <alignment horizontal="left"/>
    </xf>
    <xf numFmtId="165" fontId="64" fillId="0" borderId="0" xfId="1" applyNumberFormat="1" applyFont="1" applyFill="1" applyBorder="1"/>
    <xf numFmtId="165" fontId="68" fillId="0" borderId="0" xfId="1" applyNumberFormat="1" applyFont="1" applyFill="1" applyBorder="1"/>
    <xf numFmtId="165" fontId="66" fillId="0" borderId="0" xfId="1" applyNumberFormat="1" applyFont="1" applyFill="1" applyBorder="1"/>
    <xf numFmtId="49" fontId="66" fillId="0" borderId="11" xfId="0" applyNumberFormat="1" applyFont="1" applyBorder="1" applyAlignment="1">
      <alignment horizontal="left" wrapText="1" indent="1"/>
    </xf>
    <xf numFmtId="49" fontId="65" fillId="4" borderId="20" xfId="0" applyNumberFormat="1" applyFont="1" applyFill="1" applyBorder="1" applyAlignment="1">
      <alignment horizontal="left" indent="1"/>
    </xf>
    <xf numFmtId="0" fontId="13" fillId="0" borderId="0" xfId="0" applyFont="1"/>
    <xf numFmtId="0" fontId="69" fillId="0" borderId="0" xfId="0" applyFont="1"/>
    <xf numFmtId="49" fontId="64" fillId="3" borderId="38" xfId="0" applyNumberFormat="1" applyFont="1" applyFill="1" applyBorder="1" applyAlignment="1">
      <alignment horizontal="left" indent="1"/>
    </xf>
    <xf numFmtId="49" fontId="70" fillId="0" borderId="11" xfId="0" applyNumberFormat="1" applyFont="1" applyBorder="1" applyAlignment="1">
      <alignment horizontal="left" wrapText="1" indent="1"/>
    </xf>
    <xf numFmtId="0" fontId="13" fillId="0" borderId="24" xfId="0" applyFont="1" applyBorder="1"/>
    <xf numFmtId="49" fontId="66" fillId="3" borderId="46" xfId="0" applyNumberFormat="1" applyFont="1" applyFill="1" applyBorder="1" applyAlignment="1">
      <alignment horizontal="left" wrapText="1" indent="1"/>
    </xf>
    <xf numFmtId="49" fontId="64" fillId="4" borderId="16" xfId="0" applyNumberFormat="1" applyFont="1" applyFill="1" applyBorder="1" applyAlignment="1">
      <alignment horizontal="left" indent="1"/>
    </xf>
    <xf numFmtId="49" fontId="13" fillId="0" borderId="0" xfId="0" applyNumberFormat="1" applyFont="1" applyAlignment="1">
      <alignment horizontal="left" indent="1"/>
    </xf>
    <xf numFmtId="49" fontId="64" fillId="4" borderId="38" xfId="0" applyNumberFormat="1" applyFont="1" applyFill="1" applyBorder="1" applyAlignment="1">
      <alignment horizontal="left" indent="1"/>
    </xf>
    <xf numFmtId="165" fontId="67" fillId="0" borderId="0" xfId="1" applyNumberFormat="1" applyFont="1" applyFill="1" applyBorder="1" applyAlignment="1">
      <alignment horizontal="center"/>
    </xf>
    <xf numFmtId="165" fontId="67" fillId="0" borderId="0" xfId="1" applyNumberFormat="1" applyFont="1" applyFill="1" applyBorder="1" applyAlignment="1">
      <alignment horizontal="right"/>
    </xf>
    <xf numFmtId="49" fontId="71" fillId="0" borderId="11" xfId="1" applyNumberFormat="1" applyFont="1" applyFill="1" applyBorder="1" applyAlignment="1">
      <alignment horizontal="left" indent="1"/>
    </xf>
    <xf numFmtId="165" fontId="8" fillId="0" borderId="53" xfId="1" applyNumberFormat="1" applyFont="1" applyFill="1" applyBorder="1" applyAlignment="1">
      <alignment horizontal="center"/>
    </xf>
    <xf numFmtId="165" fontId="33" fillId="0" borderId="4" xfId="1" applyNumberFormat="1" applyFont="1" applyFill="1" applyBorder="1" applyAlignment="1">
      <alignment horizontal="right"/>
    </xf>
    <xf numFmtId="165" fontId="26" fillId="0" borderId="43" xfId="1" applyNumberFormat="1" applyFont="1" applyFill="1" applyBorder="1" applyAlignment="1">
      <alignment horizontal="right"/>
    </xf>
    <xf numFmtId="165" fontId="26" fillId="0" borderId="0" xfId="1" applyNumberFormat="1" applyFont="1" applyFill="1" applyBorder="1" applyAlignment="1">
      <alignment horizontal="right"/>
    </xf>
    <xf numFmtId="165" fontId="33" fillId="0" borderId="0" xfId="1" applyNumberFormat="1" applyFont="1" applyFill="1" applyBorder="1" applyAlignment="1">
      <alignment horizontal="right"/>
    </xf>
    <xf numFmtId="165" fontId="33" fillId="0" borderId="43" xfId="1" applyNumberFormat="1" applyFont="1" applyFill="1" applyBorder="1" applyAlignment="1">
      <alignment horizontal="right"/>
    </xf>
    <xf numFmtId="165" fontId="33" fillId="3" borderId="5" xfId="1" applyNumberFormat="1" applyFont="1" applyFill="1" applyBorder="1" applyAlignment="1">
      <alignment horizontal="right"/>
    </xf>
    <xf numFmtId="165" fontId="33" fillId="6" borderId="19" xfId="1" applyNumberFormat="1" applyFont="1" applyFill="1" applyBorder="1" applyAlignment="1">
      <alignment horizontal="right"/>
    </xf>
    <xf numFmtId="165" fontId="11" fillId="0" borderId="4" xfId="1" applyNumberFormat="1" applyFont="1" applyFill="1" applyBorder="1" applyAlignment="1">
      <alignment horizontal="center"/>
    </xf>
    <xf numFmtId="165" fontId="12" fillId="0" borderId="43" xfId="1" applyNumberFormat="1" applyFont="1" applyFill="1" applyBorder="1" applyAlignment="1">
      <alignment horizontal="center"/>
    </xf>
    <xf numFmtId="165" fontId="11" fillId="0" borderId="0" xfId="1" applyNumberFormat="1" applyFont="1" applyFill="1" applyBorder="1" applyAlignment="1">
      <alignment horizontal="center"/>
    </xf>
    <xf numFmtId="165" fontId="9" fillId="0" borderId="43" xfId="1" applyNumberFormat="1" applyFont="1" applyFill="1" applyBorder="1" applyAlignment="1">
      <alignment horizontal="center"/>
    </xf>
    <xf numFmtId="165" fontId="11" fillId="2" borderId="19" xfId="1" applyNumberFormat="1" applyFont="1" applyFill="1" applyBorder="1"/>
    <xf numFmtId="9" fontId="11" fillId="0" borderId="4" xfId="6" applyFont="1" applyFill="1" applyBorder="1" applyAlignment="1">
      <alignment horizontal="center"/>
    </xf>
    <xf numFmtId="9" fontId="11" fillId="0" borderId="0" xfId="6" applyFont="1" applyFill="1" applyBorder="1" applyAlignment="1">
      <alignment horizontal="center"/>
    </xf>
    <xf numFmtId="9" fontId="11" fillId="0" borderId="43" xfId="6" applyFont="1" applyFill="1" applyBorder="1" applyAlignment="1">
      <alignment horizontal="center"/>
    </xf>
    <xf numFmtId="9" fontId="11" fillId="2" borderId="19" xfId="6" applyFont="1" applyFill="1" applyBorder="1" applyAlignment="1">
      <alignment horizontal="center"/>
    </xf>
    <xf numFmtId="10" fontId="8" fillId="0" borderId="0" xfId="1" applyNumberFormat="1" applyFont="1" applyFill="1" applyBorder="1" applyAlignment="1">
      <alignment horizontal="center"/>
    </xf>
    <xf numFmtId="165" fontId="33" fillId="0" borderId="0" xfId="1" applyNumberFormat="1" applyFont="1" applyFill="1" applyBorder="1" applyAlignment="1">
      <alignment horizontal="center"/>
    </xf>
    <xf numFmtId="165" fontId="33" fillId="0" borderId="5" xfId="1" applyNumberFormat="1" applyFont="1" applyFill="1" applyBorder="1"/>
    <xf numFmtId="165" fontId="33" fillId="6" borderId="5" xfId="1" applyNumberFormat="1" applyFont="1" applyFill="1" applyBorder="1"/>
    <xf numFmtId="165" fontId="33" fillId="0" borderId="0" xfId="1" applyNumberFormat="1" applyFont="1" applyFill="1" applyBorder="1"/>
    <xf numFmtId="165" fontId="33" fillId="3" borderId="19" xfId="1" applyNumberFormat="1" applyFont="1" applyFill="1" applyBorder="1"/>
    <xf numFmtId="165" fontId="33" fillId="3" borderId="5" xfId="1" applyNumberFormat="1" applyFont="1" applyFill="1" applyBorder="1" applyAlignment="1">
      <alignment horizontal="center"/>
    </xf>
    <xf numFmtId="165" fontId="33" fillId="6" borderId="19" xfId="1" applyNumberFormat="1" applyFont="1" applyFill="1" applyBorder="1"/>
    <xf numFmtId="165" fontId="11" fillId="0" borderId="4" xfId="1" applyNumberFormat="1" applyFont="1" applyFill="1" applyBorder="1"/>
    <xf numFmtId="165" fontId="11" fillId="0" borderId="5" xfId="1" applyNumberFormat="1" applyFont="1" applyFill="1" applyBorder="1"/>
    <xf numFmtId="165" fontId="33" fillId="0" borderId="4" xfId="1" applyNumberFormat="1" applyFont="1" applyFill="1" applyBorder="1"/>
    <xf numFmtId="9" fontId="11" fillId="0" borderId="5" xfId="6" applyFont="1" applyFill="1" applyBorder="1" applyAlignment="1">
      <alignment horizontal="center"/>
    </xf>
    <xf numFmtId="49" fontId="8" fillId="0" borderId="16" xfId="1" applyNumberFormat="1" applyFont="1" applyFill="1" applyBorder="1" applyAlignment="1">
      <alignment horizontal="center"/>
    </xf>
    <xf numFmtId="9" fontId="9" fillId="2" borderId="23" xfId="6" applyFont="1" applyFill="1" applyBorder="1" applyAlignment="1">
      <alignment horizontal="center"/>
    </xf>
    <xf numFmtId="165" fontId="44" fillId="0" borderId="0" xfId="1" applyNumberFormat="1" applyFont="1" applyFill="1" applyBorder="1"/>
    <xf numFmtId="165" fontId="45" fillId="0" borderId="0" xfId="1" applyNumberFormat="1" applyFont="1" applyFill="1" applyBorder="1"/>
    <xf numFmtId="9" fontId="44" fillId="0" borderId="0" xfId="6" applyFont="1" applyFill="1" applyBorder="1" applyAlignment="1">
      <alignment horizontal="center"/>
    </xf>
    <xf numFmtId="165" fontId="9" fillId="3" borderId="4" xfId="1" applyNumberFormat="1" applyFont="1" applyFill="1" applyBorder="1"/>
    <xf numFmtId="165" fontId="8" fillId="0" borderId="0" xfId="1" applyNumberFormat="1" applyFont="1" applyBorder="1"/>
    <xf numFmtId="165" fontId="9" fillId="4" borderId="43" xfId="1" applyNumberFormat="1" applyFont="1" applyFill="1" applyBorder="1"/>
    <xf numFmtId="165" fontId="9" fillId="4" borderId="19" xfId="1" applyNumberFormat="1" applyFont="1" applyFill="1" applyBorder="1"/>
    <xf numFmtId="165" fontId="9" fillId="4" borderId="23" xfId="1" applyNumberFormat="1" applyFont="1" applyFill="1" applyBorder="1"/>
    <xf numFmtId="49" fontId="8" fillId="0" borderId="0" xfId="0" applyNumberFormat="1" applyFont="1" applyAlignment="1">
      <alignment horizontal="left" wrapText="1" indent="1"/>
    </xf>
    <xf numFmtId="0" fontId="0" fillId="0" borderId="14" xfId="0" applyBorder="1" applyAlignment="1">
      <alignment horizontal="center" vertical="center"/>
    </xf>
    <xf numFmtId="4" fontId="36" fillId="0" borderId="8" xfId="0" applyNumberFormat="1" applyFont="1" applyBorder="1" applyAlignment="1">
      <alignment horizontal="center" vertical="center"/>
    </xf>
    <xf numFmtId="0" fontId="36" fillId="0" borderId="11" xfId="0" applyFont="1" applyBorder="1"/>
    <xf numFmtId="0" fontId="72" fillId="8" borderId="37" xfId="0" applyFont="1" applyFill="1" applyBorder="1" applyAlignment="1">
      <alignment horizontal="center" vertical="center" wrapText="1"/>
    </xf>
    <xf numFmtId="0" fontId="36" fillId="0" borderId="30" xfId="0" applyFont="1" applyBorder="1" applyAlignment="1">
      <alignment vertical="center" wrapText="1"/>
    </xf>
    <xf numFmtId="0" fontId="36" fillId="0" borderId="0" xfId="0" applyFont="1" applyAlignment="1">
      <alignment vertical="center" wrapText="1"/>
    </xf>
    <xf numFmtId="2" fontId="50" fillId="0" borderId="0" xfId="0" applyNumberFormat="1" applyFont="1" applyAlignment="1">
      <alignment vertical="center" wrapText="1"/>
    </xf>
    <xf numFmtId="0" fontId="50" fillId="0" borderId="0" xfId="0" applyFont="1"/>
    <xf numFmtId="0" fontId="9" fillId="0" borderId="12" xfId="1" applyNumberFormat="1" applyFont="1" applyFill="1" applyBorder="1" applyAlignment="1">
      <alignment horizontal="center"/>
    </xf>
    <xf numFmtId="165" fontId="34" fillId="0" borderId="4" xfId="1" applyNumberFormat="1" applyFont="1" applyFill="1" applyBorder="1"/>
    <xf numFmtId="165" fontId="34" fillId="0" borderId="5" xfId="1" applyNumberFormat="1" applyFont="1" applyFill="1" applyBorder="1"/>
    <xf numFmtId="165" fontId="34" fillId="2" borderId="5" xfId="1" applyNumberFormat="1" applyFont="1" applyFill="1" applyBorder="1"/>
    <xf numFmtId="165" fontId="73" fillId="0" borderId="0" xfId="1" applyNumberFormat="1" applyFont="1" applyFill="1" applyBorder="1"/>
    <xf numFmtId="165" fontId="74" fillId="3" borderId="5" xfId="1" applyNumberFormat="1" applyFont="1" applyFill="1" applyBorder="1"/>
    <xf numFmtId="165" fontId="74" fillId="3" borderId="19" xfId="1" applyNumberFormat="1" applyFont="1" applyFill="1" applyBorder="1"/>
    <xf numFmtId="165" fontId="12" fillId="0" borderId="4" xfId="1" applyNumberFormat="1" applyFont="1" applyFill="1" applyBorder="1"/>
    <xf numFmtId="165" fontId="34" fillId="3" borderId="5" xfId="1" applyNumberFormat="1" applyFont="1" applyFill="1" applyBorder="1"/>
    <xf numFmtId="165" fontId="34" fillId="3" borderId="5" xfId="1" applyNumberFormat="1" applyFont="1" applyFill="1" applyBorder="1" applyAlignment="1">
      <alignment horizontal="left" indent="1"/>
    </xf>
    <xf numFmtId="165" fontId="74" fillId="0" borderId="0" xfId="1" applyNumberFormat="1" applyFont="1" applyFill="1" applyBorder="1"/>
    <xf numFmtId="165" fontId="34" fillId="3" borderId="19" xfId="1" applyNumberFormat="1" applyFont="1" applyFill="1" applyBorder="1"/>
    <xf numFmtId="0" fontId="37" fillId="0" borderId="31" xfId="1" applyNumberFormat="1" applyFont="1" applyFill="1" applyBorder="1" applyAlignment="1">
      <alignment horizontal="center"/>
    </xf>
    <xf numFmtId="49" fontId="38" fillId="0" borderId="0" xfId="0" applyNumberFormat="1" applyFont="1" applyAlignment="1">
      <alignment horizontal="left" wrapText="1" indent="1"/>
    </xf>
    <xf numFmtId="165" fontId="37" fillId="0" borderId="0" xfId="1" applyNumberFormat="1" applyFont="1" applyFill="1" applyBorder="1" applyAlignment="1">
      <alignment horizontal="center"/>
    </xf>
    <xf numFmtId="165" fontId="34" fillId="0" borderId="4" xfId="1" applyNumberFormat="1" applyFont="1" applyFill="1" applyBorder="1" applyAlignment="1">
      <alignment horizontal="right"/>
    </xf>
    <xf numFmtId="165" fontId="35" fillId="0" borderId="43" xfId="1" applyNumberFormat="1" applyFont="1" applyFill="1" applyBorder="1" applyAlignment="1">
      <alignment horizontal="right"/>
    </xf>
    <xf numFmtId="165" fontId="74" fillId="0" borderId="4" xfId="1" applyNumberFormat="1" applyFont="1" applyFill="1" applyBorder="1" applyAlignment="1">
      <alignment horizontal="right"/>
    </xf>
    <xf numFmtId="165" fontId="35" fillId="0" borderId="0" xfId="1" applyNumberFormat="1" applyFont="1" applyFill="1" applyBorder="1" applyAlignment="1">
      <alignment horizontal="right"/>
    </xf>
    <xf numFmtId="165" fontId="74" fillId="0" borderId="0" xfId="1" applyNumberFormat="1" applyFont="1" applyFill="1" applyBorder="1" applyAlignment="1">
      <alignment horizontal="right"/>
    </xf>
    <xf numFmtId="165" fontId="34" fillId="0" borderId="0" xfId="1" applyNumberFormat="1" applyFont="1" applyFill="1" applyBorder="1" applyAlignment="1">
      <alignment horizontal="right"/>
    </xf>
    <xf numFmtId="165" fontId="34" fillId="0" borderId="43" xfId="1" applyNumberFormat="1" applyFont="1" applyFill="1" applyBorder="1" applyAlignment="1">
      <alignment horizontal="right"/>
    </xf>
    <xf numFmtId="165" fontId="34" fillId="3" borderId="19" xfId="1" applyNumberFormat="1" applyFont="1" applyFill="1" applyBorder="1" applyAlignment="1">
      <alignment horizontal="right"/>
    </xf>
    <xf numFmtId="165" fontId="73" fillId="0" borderId="0" xfId="1" applyNumberFormat="1" applyFont="1" applyFill="1" applyBorder="1" applyAlignment="1">
      <alignment horizontal="right"/>
    </xf>
    <xf numFmtId="165" fontId="74" fillId="3" borderId="5" xfId="1" applyNumberFormat="1" applyFont="1" applyFill="1" applyBorder="1" applyAlignment="1">
      <alignment horizontal="right"/>
    </xf>
    <xf numFmtId="165" fontId="74" fillId="3" borderId="19" xfId="1" applyNumberFormat="1" applyFont="1" applyFill="1" applyBorder="1" applyAlignment="1">
      <alignment horizontal="right"/>
    </xf>
    <xf numFmtId="2" fontId="53" fillId="8" borderId="24" xfId="1" applyNumberFormat="1" applyFont="1" applyFill="1" applyBorder="1" applyAlignment="1">
      <alignment horizontal="center" vertical="center"/>
    </xf>
    <xf numFmtId="165" fontId="34" fillId="3" borderId="4" xfId="1" applyNumberFormat="1" applyFont="1" applyFill="1" applyBorder="1"/>
    <xf numFmtId="165" fontId="35" fillId="0" borderId="0" xfId="1" applyNumberFormat="1" applyFont="1" applyBorder="1"/>
    <xf numFmtId="165" fontId="34" fillId="4" borderId="23" xfId="1" applyNumberFormat="1" applyFont="1" applyFill="1" applyBorder="1"/>
    <xf numFmtId="165" fontId="74" fillId="0" borderId="5" xfId="1" applyNumberFormat="1" applyFont="1" applyFill="1" applyBorder="1"/>
    <xf numFmtId="165" fontId="74" fillId="4" borderId="43" xfId="1" applyNumberFormat="1" applyFont="1" applyFill="1" applyBorder="1"/>
    <xf numFmtId="165" fontId="74" fillId="4" borderId="19" xfId="1" applyNumberFormat="1" applyFont="1" applyFill="1" applyBorder="1"/>
    <xf numFmtId="49" fontId="68" fillId="2" borderId="16" xfId="1" applyNumberFormat="1" applyFont="1" applyFill="1" applyBorder="1" applyAlignment="1">
      <alignment horizontal="left" indent="1"/>
    </xf>
    <xf numFmtId="49" fontId="71" fillId="4" borderId="16" xfId="1" applyNumberFormat="1" applyFont="1" applyFill="1" applyBorder="1" applyAlignment="1">
      <alignment horizontal="left" wrapText="1" indent="1"/>
    </xf>
    <xf numFmtId="49" fontId="71" fillId="2" borderId="20" xfId="1" applyNumberFormat="1" applyFont="1" applyFill="1" applyBorder="1" applyAlignment="1">
      <alignment horizontal="left" indent="1"/>
    </xf>
    <xf numFmtId="165" fontId="33" fillId="3" borderId="19" xfId="1" applyNumberFormat="1" applyFont="1" applyFill="1" applyBorder="1" applyAlignment="1">
      <alignment horizontal="right"/>
    </xf>
    <xf numFmtId="17" fontId="0" fillId="0" borderId="50" xfId="0" applyNumberFormat="1" applyBorder="1" applyAlignment="1">
      <alignment vertical="center" wrapText="1"/>
    </xf>
    <xf numFmtId="17" fontId="0" fillId="0" borderId="52" xfId="0" applyNumberFormat="1" applyBorder="1" applyAlignment="1">
      <alignment vertical="center" wrapText="1"/>
    </xf>
    <xf numFmtId="0" fontId="75" fillId="0" borderId="0" xfId="0" applyFont="1" applyAlignment="1">
      <alignment vertical="center" wrapText="1"/>
    </xf>
    <xf numFmtId="165" fontId="33" fillId="3" borderId="4" xfId="1" applyNumberFormat="1" applyFont="1" applyFill="1" applyBorder="1"/>
    <xf numFmtId="165" fontId="26" fillId="0" borderId="0" xfId="1" applyNumberFormat="1" applyFont="1" applyBorder="1"/>
    <xf numFmtId="165" fontId="33" fillId="3" borderId="5" xfId="1" applyNumberFormat="1" applyFont="1" applyFill="1" applyBorder="1"/>
    <xf numFmtId="0" fontId="33" fillId="0" borderId="0" xfId="7" applyFont="1"/>
    <xf numFmtId="165" fontId="33" fillId="4" borderId="23" xfId="1" applyNumberFormat="1" applyFont="1" applyFill="1" applyBorder="1"/>
    <xf numFmtId="165" fontId="33" fillId="4" borderId="43" xfId="1" applyNumberFormat="1" applyFont="1" applyFill="1" applyBorder="1"/>
    <xf numFmtId="165" fontId="33" fillId="4" borderId="19" xfId="1" applyNumberFormat="1" applyFont="1" applyFill="1" applyBorder="1"/>
    <xf numFmtId="9" fontId="18" fillId="3" borderId="4" xfId="1" applyNumberFormat="1" applyFont="1" applyFill="1" applyBorder="1" applyAlignment="1">
      <alignment horizontal="center"/>
    </xf>
    <xf numFmtId="9" fontId="18" fillId="0" borderId="0" xfId="1" applyNumberFormat="1" applyFont="1" applyFill="1" applyBorder="1" applyAlignment="1">
      <alignment horizontal="center"/>
    </xf>
    <xf numFmtId="9" fontId="14" fillId="0" borderId="0" xfId="1" applyNumberFormat="1" applyFont="1" applyBorder="1" applyAlignment="1">
      <alignment horizontal="center"/>
    </xf>
    <xf numFmtId="9" fontId="8" fillId="0" borderId="0" xfId="1" applyNumberFormat="1" applyFont="1" applyBorder="1" applyAlignment="1">
      <alignment horizontal="center"/>
    </xf>
    <xf numFmtId="9" fontId="18" fillId="3" borderId="5" xfId="1" applyNumberFormat="1" applyFont="1" applyFill="1" applyBorder="1" applyAlignment="1">
      <alignment horizontal="center"/>
    </xf>
    <xf numFmtId="9" fontId="18" fillId="0" borderId="0" xfId="7" applyNumberFormat="1" applyFont="1" applyAlignment="1">
      <alignment horizontal="center"/>
    </xf>
    <xf numFmtId="9" fontId="24" fillId="4" borderId="23" xfId="1" applyNumberFormat="1" applyFont="1" applyFill="1" applyBorder="1" applyAlignment="1">
      <alignment horizontal="center"/>
    </xf>
    <xf numFmtId="9" fontId="44" fillId="0" borderId="0" xfId="1" applyNumberFormat="1" applyFont="1" applyFill="1" applyBorder="1" applyAlignment="1">
      <alignment horizontal="center"/>
    </xf>
    <xf numFmtId="9" fontId="9" fillId="0" borderId="0" xfId="1" applyNumberFormat="1" applyFont="1" applyFill="1" applyBorder="1" applyAlignment="1">
      <alignment horizontal="center"/>
    </xf>
    <xf numFmtId="9" fontId="9" fillId="0" borderId="5" xfId="1" applyNumberFormat="1" applyFont="1" applyFill="1" applyBorder="1" applyAlignment="1">
      <alignment horizontal="center"/>
    </xf>
    <xf numFmtId="9" fontId="9" fillId="4" borderId="43" xfId="1" applyNumberFormat="1" applyFont="1" applyFill="1" applyBorder="1" applyAlignment="1">
      <alignment horizontal="center"/>
    </xf>
    <xf numFmtId="9" fontId="9" fillId="4" borderId="19" xfId="1" applyNumberFormat="1" applyFont="1" applyFill="1" applyBorder="1" applyAlignment="1">
      <alignment horizontal="center"/>
    </xf>
    <xf numFmtId="9" fontId="44" fillId="0" borderId="0" xfId="7" applyNumberFormat="1" applyFont="1" applyAlignment="1">
      <alignment horizontal="center"/>
    </xf>
    <xf numFmtId="9" fontId="9" fillId="3" borderId="19" xfId="1" applyNumberFormat="1" applyFont="1" applyFill="1" applyBorder="1" applyAlignment="1">
      <alignment horizontal="center"/>
    </xf>
    <xf numFmtId="165" fontId="74" fillId="0" borderId="4" xfId="1" applyNumberFormat="1" applyFont="1" applyFill="1" applyBorder="1"/>
    <xf numFmtId="165" fontId="22" fillId="0" borderId="0" xfId="1" applyNumberFormat="1" applyFont="1" applyFill="1" applyBorder="1" applyAlignment="1">
      <alignment horizontal="center"/>
    </xf>
    <xf numFmtId="0" fontId="0" fillId="0" borderId="0" xfId="0" applyAlignment="1">
      <alignment vertical="center"/>
    </xf>
    <xf numFmtId="17" fontId="0" fillId="0" borderId="0" xfId="0" applyNumberFormat="1"/>
    <xf numFmtId="40" fontId="0" fillId="0" borderId="0" xfId="0" applyNumberFormat="1"/>
    <xf numFmtId="2" fontId="53" fillId="9" borderId="23" xfId="1" applyNumberFormat="1" applyFont="1" applyFill="1" applyBorder="1" applyAlignment="1">
      <alignment horizontal="center" vertical="center"/>
    </xf>
    <xf numFmtId="49" fontId="78" fillId="0" borderId="11" xfId="0" applyNumberFormat="1" applyFont="1" applyBorder="1" applyAlignment="1">
      <alignment horizontal="left" wrapText="1" indent="1"/>
    </xf>
    <xf numFmtId="49" fontId="31" fillId="0" borderId="11" xfId="0" applyNumberFormat="1" applyFont="1" applyBorder="1" applyAlignment="1">
      <alignment horizontal="left" wrapText="1" indent="1"/>
    </xf>
    <xf numFmtId="49" fontId="31" fillId="0" borderId="11" xfId="1" applyNumberFormat="1" applyFont="1" applyFill="1" applyBorder="1" applyAlignment="1">
      <alignment horizontal="left" indent="1"/>
    </xf>
    <xf numFmtId="49" fontId="80" fillId="0" borderId="13" xfId="1" applyNumberFormat="1" applyFont="1" applyFill="1" applyBorder="1" applyAlignment="1">
      <alignment horizontal="left" wrapText="1" indent="1"/>
    </xf>
    <xf numFmtId="49" fontId="80" fillId="0" borderId="11" xfId="1" applyNumberFormat="1" applyFont="1" applyFill="1" applyBorder="1" applyAlignment="1">
      <alignment horizontal="left" wrapText="1" indent="1"/>
    </xf>
    <xf numFmtId="49" fontId="31" fillId="0" borderId="13" xfId="1" applyNumberFormat="1" applyFont="1" applyFill="1" applyBorder="1" applyAlignment="1">
      <alignment horizontal="left" wrapText="1" indent="1"/>
    </xf>
    <xf numFmtId="49" fontId="80" fillId="0" borderId="11" xfId="1" applyNumberFormat="1" applyFont="1" applyFill="1" applyBorder="1" applyAlignment="1">
      <alignment horizontal="left" indent="1"/>
    </xf>
    <xf numFmtId="49" fontId="31" fillId="0" borderId="13" xfId="1" applyNumberFormat="1" applyFont="1" applyFill="1" applyBorder="1" applyAlignment="1">
      <alignment horizontal="left" indent="1"/>
    </xf>
    <xf numFmtId="49" fontId="79" fillId="0" borderId="11" xfId="1" applyNumberFormat="1" applyFont="1" applyFill="1" applyBorder="1" applyAlignment="1">
      <alignment horizontal="left" indent="1"/>
    </xf>
    <xf numFmtId="49" fontId="79" fillId="0" borderId="13" xfId="1" applyNumberFormat="1" applyFont="1" applyFill="1" applyBorder="1" applyAlignment="1">
      <alignment horizontal="left" wrapText="1" indent="1"/>
    </xf>
    <xf numFmtId="49" fontId="31" fillId="0" borderId="11" xfId="1" applyNumberFormat="1" applyFont="1" applyFill="1" applyBorder="1" applyAlignment="1">
      <alignment horizontal="left" wrapText="1" indent="1"/>
    </xf>
    <xf numFmtId="49" fontId="79" fillId="0" borderId="16" xfId="1" applyNumberFormat="1" applyFont="1" applyFill="1" applyBorder="1" applyAlignment="1">
      <alignment horizontal="left" wrapText="1" indent="1"/>
    </xf>
    <xf numFmtId="49" fontId="81" fillId="0" borderId="13" xfId="1" applyNumberFormat="1" applyFont="1" applyFill="1" applyBorder="1" applyAlignment="1">
      <alignment horizontal="left" indent="1"/>
    </xf>
    <xf numFmtId="49" fontId="79" fillId="0" borderId="11" xfId="1" applyNumberFormat="1" applyFont="1" applyFill="1" applyBorder="1" applyAlignment="1">
      <alignment horizontal="left" wrapText="1" indent="1"/>
    </xf>
    <xf numFmtId="0" fontId="82" fillId="0" borderId="0" xfId="0" applyFont="1" applyAlignment="1">
      <alignment horizontal="justify" vertical="center"/>
    </xf>
    <xf numFmtId="0" fontId="82" fillId="0" borderId="0" xfId="0" applyFont="1" applyAlignment="1">
      <alignment wrapText="1"/>
    </xf>
    <xf numFmtId="0" fontId="77" fillId="0" borderId="11" xfId="0" applyFont="1" applyBorder="1" applyAlignment="1">
      <alignment horizontal="center" vertical="center" wrapText="1"/>
    </xf>
    <xf numFmtId="0" fontId="77" fillId="0" borderId="0" xfId="0" applyFont="1" applyAlignment="1">
      <alignment horizontal="center" vertical="center" wrapText="1"/>
    </xf>
    <xf numFmtId="0" fontId="77" fillId="0" borderId="0" xfId="0" applyFont="1"/>
    <xf numFmtId="0" fontId="77" fillId="0" borderId="0" xfId="0" applyFont="1" applyAlignment="1">
      <alignment horizontal="center" vertical="center"/>
    </xf>
    <xf numFmtId="0" fontId="82" fillId="0" borderId="8" xfId="0" applyFont="1" applyBorder="1" applyAlignment="1">
      <alignment horizontal="center" vertical="center"/>
    </xf>
    <xf numFmtId="0" fontId="82" fillId="0" borderId="0" xfId="0" applyFont="1"/>
    <xf numFmtId="0" fontId="83" fillId="0" borderId="0" xfId="0" applyFont="1" applyAlignment="1">
      <alignment horizontal="center" vertical="center" wrapText="1"/>
    </xf>
    <xf numFmtId="0" fontId="82" fillId="0" borderId="0" xfId="0" applyFont="1" applyAlignment="1">
      <alignment horizontal="center" vertical="center" wrapText="1"/>
    </xf>
    <xf numFmtId="0" fontId="77" fillId="0" borderId="0" xfId="0" applyFont="1" applyAlignment="1">
      <alignment vertical="center" wrapText="1"/>
    </xf>
    <xf numFmtId="0" fontId="77" fillId="0" borderId="0" xfId="0" applyFont="1" applyAlignment="1">
      <alignment horizontal="left" vertical="center" wrapText="1"/>
    </xf>
    <xf numFmtId="0" fontId="83" fillId="0" borderId="0" xfId="0" applyFont="1" applyAlignment="1">
      <alignment horizontal="left" vertical="center" wrapText="1"/>
    </xf>
    <xf numFmtId="49" fontId="80" fillId="0" borderId="16" xfId="1" applyNumberFormat="1" applyFont="1" applyFill="1" applyBorder="1" applyAlignment="1">
      <alignment horizontal="left" indent="1"/>
    </xf>
    <xf numFmtId="49" fontId="80" fillId="0" borderId="25" xfId="1" applyNumberFormat="1" applyFont="1" applyFill="1" applyBorder="1" applyAlignment="1">
      <alignment horizontal="left" indent="1"/>
    </xf>
    <xf numFmtId="49" fontId="86" fillId="2" borderId="27" xfId="1" applyNumberFormat="1" applyFont="1" applyFill="1" applyBorder="1" applyAlignment="1">
      <alignment horizontal="left" indent="1"/>
    </xf>
    <xf numFmtId="49" fontId="31" fillId="3" borderId="16" xfId="1" applyNumberFormat="1" applyFont="1" applyFill="1" applyBorder="1" applyAlignment="1">
      <alignment horizontal="left" wrapText="1" indent="1"/>
    </xf>
    <xf numFmtId="49" fontId="31" fillId="2" borderId="20" xfId="1" applyNumberFormat="1" applyFont="1" applyFill="1" applyBorder="1" applyAlignment="1">
      <alignment horizontal="left" indent="1"/>
    </xf>
    <xf numFmtId="49" fontId="80" fillId="2" borderId="20" xfId="1" applyNumberFormat="1" applyFont="1" applyFill="1" applyBorder="1" applyAlignment="1">
      <alignment horizontal="left" indent="1"/>
    </xf>
    <xf numFmtId="49" fontId="85" fillId="0" borderId="11" xfId="1" applyNumberFormat="1" applyFont="1" applyFill="1" applyBorder="1" applyAlignment="1">
      <alignment horizontal="left" indent="1"/>
    </xf>
    <xf numFmtId="49" fontId="87" fillId="2" borderId="20" xfId="1" applyNumberFormat="1" applyFont="1" applyFill="1" applyBorder="1" applyAlignment="1">
      <alignment horizontal="left" indent="1"/>
    </xf>
    <xf numFmtId="49" fontId="80" fillId="0" borderId="25" xfId="1" applyNumberFormat="1" applyFont="1" applyFill="1" applyBorder="1" applyAlignment="1">
      <alignment horizontal="left" wrapText="1" indent="1"/>
    </xf>
    <xf numFmtId="49" fontId="80" fillId="2" borderId="20" xfId="1" applyNumberFormat="1" applyFont="1" applyFill="1" applyBorder="1" applyAlignment="1">
      <alignment horizontal="left" wrapText="1" indent="1"/>
    </xf>
    <xf numFmtId="2" fontId="0" fillId="0" borderId="0" xfId="6" applyNumberFormat="1" applyFont="1" applyAlignment="1">
      <alignment horizontal="center"/>
    </xf>
    <xf numFmtId="0" fontId="77" fillId="0" borderId="11" xfId="0" applyFont="1" applyBorder="1" applyAlignment="1">
      <alignment horizontal="left" wrapText="1" indent="1"/>
    </xf>
    <xf numFmtId="165" fontId="44" fillId="0" borderId="0" xfId="1" applyNumberFormat="1" applyFont="1" applyFill="1" applyBorder="1" applyAlignment="1">
      <alignment horizontal="right"/>
    </xf>
    <xf numFmtId="165" fontId="45" fillId="0" borderId="0" xfId="1" applyNumberFormat="1" applyFont="1" applyFill="1" applyBorder="1" applyAlignment="1">
      <alignment horizontal="right"/>
    </xf>
    <xf numFmtId="0" fontId="44" fillId="0" borderId="14" xfId="1" applyNumberFormat="1" applyFont="1" applyFill="1" applyBorder="1" applyAlignment="1">
      <alignment horizontal="center"/>
    </xf>
    <xf numFmtId="49" fontId="45" fillId="0" borderId="2" xfId="1" applyNumberFormat="1" applyFont="1" applyFill="1" applyBorder="1" applyAlignment="1">
      <alignment horizontal="left" indent="1"/>
    </xf>
    <xf numFmtId="0" fontId="4" fillId="0" borderId="0" xfId="0" applyFont="1"/>
    <xf numFmtId="0" fontId="3" fillId="0" borderId="0" xfId="0" applyFont="1"/>
    <xf numFmtId="0" fontId="82" fillId="0" borderId="0" xfId="0" applyFont="1" applyAlignment="1">
      <alignment vertical="center" wrapText="1"/>
    </xf>
    <xf numFmtId="0" fontId="76" fillId="9" borderId="23" xfId="0" applyFont="1" applyFill="1" applyBorder="1" applyAlignment="1">
      <alignment horizontal="right" vertical="center"/>
    </xf>
    <xf numFmtId="0" fontId="0" fillId="0" borderId="21" xfId="0" applyBorder="1"/>
    <xf numFmtId="0" fontId="8" fillId="0" borderId="0" xfId="7" applyFont="1"/>
    <xf numFmtId="0" fontId="8" fillId="0" borderId="3" xfId="7" applyFont="1" applyBorder="1" applyAlignment="1">
      <alignment horizontal="center"/>
    </xf>
    <xf numFmtId="0" fontId="2" fillId="0" borderId="0" xfId="0" applyFont="1"/>
    <xf numFmtId="0" fontId="1" fillId="0" borderId="0" xfId="0" applyFont="1"/>
    <xf numFmtId="49" fontId="9" fillId="0" borderId="0" xfId="1" applyNumberFormat="1" applyFont="1" applyFill="1" applyBorder="1" applyAlignment="1">
      <alignment horizontal="left" indent="1"/>
    </xf>
    <xf numFmtId="49" fontId="8" fillId="0" borderId="54" xfId="1" applyNumberFormat="1" applyFont="1" applyFill="1" applyBorder="1"/>
    <xf numFmtId="0" fontId="0" fillId="0" borderId="55" xfId="0" applyBorder="1"/>
    <xf numFmtId="165" fontId="11" fillId="0" borderId="0" xfId="1" applyNumberFormat="1" applyFont="1" applyFill="1" applyBorder="1"/>
    <xf numFmtId="0" fontId="29" fillId="10" borderId="56" xfId="0" applyFont="1" applyFill="1" applyBorder="1" applyAlignment="1">
      <alignment vertical="center"/>
    </xf>
    <xf numFmtId="0" fontId="29" fillId="10" borderId="43" xfId="0" applyFont="1" applyFill="1" applyBorder="1" applyAlignment="1">
      <alignment horizontal="left" vertical="center" indent="1"/>
    </xf>
    <xf numFmtId="0" fontId="9" fillId="10" borderId="43" xfId="0" applyFont="1" applyFill="1" applyBorder="1" applyAlignment="1">
      <alignment horizontal="center" vertical="center"/>
    </xf>
    <xf numFmtId="0" fontId="8" fillId="10" borderId="43" xfId="0" applyFont="1" applyFill="1" applyBorder="1" applyAlignment="1">
      <alignment horizontal="right"/>
    </xf>
    <xf numFmtId="0" fontId="8" fillId="10" borderId="43" xfId="0" applyFont="1" applyFill="1" applyBorder="1" applyAlignment="1">
      <alignment horizontal="center"/>
    </xf>
    <xf numFmtId="0" fontId="8" fillId="10" borderId="57" xfId="0" applyFont="1" applyFill="1" applyBorder="1" applyAlignment="1">
      <alignment horizontal="left" wrapText="1" indent="1"/>
    </xf>
    <xf numFmtId="0" fontId="29" fillId="10" borderId="58" xfId="0" applyFont="1" applyFill="1" applyBorder="1" applyAlignment="1">
      <alignment vertical="center"/>
    </xf>
    <xf numFmtId="0" fontId="8" fillId="10" borderId="59" xfId="0" applyFont="1" applyFill="1" applyBorder="1" applyAlignment="1">
      <alignment horizontal="left" wrapText="1" indent="1"/>
    </xf>
    <xf numFmtId="0" fontId="9" fillId="10" borderId="40" xfId="0" applyFont="1" applyFill="1" applyBorder="1" applyAlignment="1">
      <alignment horizontal="center" wrapText="1"/>
    </xf>
    <xf numFmtId="49" fontId="9" fillId="10" borderId="60" xfId="0" applyNumberFormat="1" applyFont="1" applyFill="1" applyBorder="1" applyAlignment="1">
      <alignment horizontal="left" wrapText="1" indent="1"/>
    </xf>
    <xf numFmtId="0" fontId="12" fillId="0" borderId="61" xfId="1" applyNumberFormat="1" applyFont="1" applyFill="1" applyBorder="1" applyAlignment="1">
      <alignment horizontal="center"/>
    </xf>
    <xf numFmtId="49" fontId="12" fillId="0" borderId="62" xfId="1" applyNumberFormat="1" applyFont="1" applyFill="1" applyBorder="1" applyAlignment="1">
      <alignment horizontal="left" indent="1"/>
    </xf>
    <xf numFmtId="0" fontId="11" fillId="0" borderId="2" xfId="1" applyNumberFormat="1" applyFont="1" applyFill="1" applyBorder="1" applyAlignment="1">
      <alignment horizontal="center"/>
    </xf>
    <xf numFmtId="49" fontId="31" fillId="0" borderId="59" xfId="1" applyNumberFormat="1" applyFont="1" applyFill="1" applyBorder="1" applyAlignment="1">
      <alignment horizontal="left" wrapText="1" indent="1"/>
    </xf>
    <xf numFmtId="49" fontId="31" fillId="0" borderId="59" xfId="1" applyNumberFormat="1" applyFont="1" applyFill="1" applyBorder="1" applyAlignment="1">
      <alignment horizontal="left" indent="1"/>
    </xf>
    <xf numFmtId="0" fontId="37" fillId="0" borderId="2" xfId="1" applyNumberFormat="1" applyFont="1" applyFill="1" applyBorder="1" applyAlignment="1">
      <alignment horizontal="center"/>
    </xf>
    <xf numFmtId="49" fontId="85" fillId="0" borderId="59" xfId="1" applyNumberFormat="1" applyFont="1" applyFill="1" applyBorder="1" applyAlignment="1">
      <alignment horizontal="left" wrapText="1" indent="1"/>
    </xf>
    <xf numFmtId="49" fontId="79" fillId="0" borderId="59" xfId="1" applyNumberFormat="1" applyFont="1" applyFill="1" applyBorder="1" applyAlignment="1">
      <alignment horizontal="left" wrapText="1" indent="1"/>
    </xf>
    <xf numFmtId="0" fontId="0" fillId="0" borderId="59" xfId="0" applyBorder="1"/>
    <xf numFmtId="0" fontId="84" fillId="0" borderId="54" xfId="0" applyFont="1" applyBorder="1"/>
    <xf numFmtId="0" fontId="11" fillId="2" borderId="53" xfId="1" applyNumberFormat="1" applyFont="1" applyFill="1" applyBorder="1" applyAlignment="1">
      <alignment horizontal="center"/>
    </xf>
    <xf numFmtId="49" fontId="68" fillId="2" borderId="48" xfId="1" applyNumberFormat="1" applyFont="1" applyFill="1" applyBorder="1" applyAlignment="1">
      <alignment horizontal="left" indent="1"/>
    </xf>
    <xf numFmtId="49" fontId="71" fillId="0" borderId="59" xfId="1" applyNumberFormat="1" applyFont="1" applyFill="1" applyBorder="1" applyAlignment="1">
      <alignment horizontal="left" indent="1"/>
    </xf>
    <xf numFmtId="0" fontId="11" fillId="0" borderId="2" xfId="1" quotePrefix="1" applyNumberFormat="1" applyFont="1" applyFill="1" applyBorder="1" applyAlignment="1">
      <alignment horizontal="center"/>
    </xf>
    <xf numFmtId="0" fontId="11" fillId="4" borderId="6" xfId="1" applyNumberFormat="1" applyFont="1" applyFill="1" applyBorder="1" applyAlignment="1">
      <alignment horizontal="center"/>
    </xf>
    <xf numFmtId="49" fontId="68" fillId="4" borderId="48" xfId="1" applyNumberFormat="1" applyFont="1" applyFill="1" applyBorder="1" applyAlignment="1">
      <alignment horizontal="left" indent="1"/>
    </xf>
    <xf numFmtId="0" fontId="9" fillId="0" borderId="2" xfId="1" applyNumberFormat="1" applyFont="1" applyFill="1" applyBorder="1" applyAlignment="1">
      <alignment horizontal="center"/>
    </xf>
    <xf numFmtId="49" fontId="79" fillId="0" borderId="59" xfId="1" applyNumberFormat="1" applyFont="1" applyFill="1" applyBorder="1" applyAlignment="1">
      <alignment horizontal="left" indent="1"/>
    </xf>
    <xf numFmtId="49" fontId="71" fillId="0" borderId="59" xfId="1" applyNumberFormat="1" applyFont="1" applyFill="1" applyBorder="1" applyAlignment="1">
      <alignment horizontal="left" wrapText="1" indent="1"/>
    </xf>
    <xf numFmtId="3" fontId="0" fillId="0" borderId="0" xfId="0" applyNumberFormat="1"/>
    <xf numFmtId="49" fontId="66" fillId="0" borderId="59" xfId="1" applyNumberFormat="1" applyFont="1" applyFill="1" applyBorder="1" applyAlignment="1">
      <alignment horizontal="left" wrapText="1" indent="1"/>
    </xf>
    <xf numFmtId="0" fontId="9" fillId="3" borderId="53" xfId="1" applyNumberFormat="1" applyFont="1" applyFill="1" applyBorder="1" applyAlignment="1">
      <alignment horizontal="center"/>
    </xf>
    <xf numFmtId="49" fontId="66" fillId="3" borderId="48" xfId="1" applyNumberFormat="1" applyFont="1" applyFill="1" applyBorder="1" applyAlignment="1">
      <alignment horizontal="left" wrapText="1" indent="1"/>
    </xf>
    <xf numFmtId="0" fontId="45" fillId="0" borderId="63" xfId="1" applyNumberFormat="1" applyFont="1" applyFill="1" applyBorder="1" applyAlignment="1">
      <alignment horizontal="center"/>
    </xf>
    <xf numFmtId="0" fontId="8" fillId="2" borderId="6" xfId="1" applyNumberFormat="1" applyFont="1" applyFill="1" applyBorder="1" applyAlignment="1">
      <alignment horizontal="center"/>
    </xf>
    <xf numFmtId="49" fontId="9" fillId="2" borderId="64" xfId="0" applyNumberFormat="1" applyFont="1" applyFill="1" applyBorder="1" applyAlignment="1">
      <alignment horizontal="left" wrapText="1" indent="1"/>
    </xf>
    <xf numFmtId="49" fontId="66" fillId="2" borderId="48" xfId="1" applyNumberFormat="1" applyFont="1" applyFill="1" applyBorder="1" applyAlignment="1">
      <alignment horizontal="left" indent="1"/>
    </xf>
    <xf numFmtId="0" fontId="0" fillId="0" borderId="65" xfId="0" applyBorder="1"/>
    <xf numFmtId="0" fontId="25" fillId="7" borderId="0" xfId="0" applyFont="1" applyFill="1" applyAlignment="1">
      <alignment horizontal="left"/>
    </xf>
    <xf numFmtId="0" fontId="32" fillId="7" borderId="0" xfId="0" applyFont="1" applyFill="1" applyAlignment="1">
      <alignment horizontal="center"/>
    </xf>
  </cellXfs>
  <cellStyles count="286">
    <cellStyle name="Comma" xfId="1" builtinId="3"/>
    <cellStyle name="Comma 2" xfId="284" xr:uid="{6409BD8F-8951-4E7E-B987-F4BC5D0F8784}"/>
    <cellStyle name="Comma 2 2" xfId="285" xr:uid="{EA334973-6045-4441-A08D-A95EAA5516FA}"/>
    <cellStyle name="Followed Hyperlink" xfId="73" builtinId="9" hidden="1"/>
    <cellStyle name="Followed Hyperlink" xfId="35" builtinId="9" hidden="1"/>
    <cellStyle name="Followed Hyperlink" xfId="47" builtinId="9" hidden="1"/>
    <cellStyle name="Followed Hyperlink" xfId="57" builtinId="9" hidden="1"/>
    <cellStyle name="Followed Hyperlink" xfId="67" builtinId="9" hidden="1"/>
    <cellStyle name="Followed Hyperlink" xfId="53" builtinId="9" hidden="1"/>
    <cellStyle name="Followed Hyperlink" xfId="15" builtinId="9" hidden="1"/>
    <cellStyle name="Followed Hyperlink" xfId="23" builtinId="9" hidden="1"/>
    <cellStyle name="Followed Hyperlink" xfId="11" builtinId="9" hidden="1"/>
    <cellStyle name="Followed Hyperlink" xfId="5" builtinId="9" hidden="1"/>
    <cellStyle name="Followed Hyperlink" xfId="25" builtinId="9" hidden="1"/>
    <cellStyle name="Followed Hyperlink" xfId="17" builtinId="9" hidden="1"/>
    <cellStyle name="Followed Hyperlink" xfId="45" builtinId="9" hidden="1"/>
    <cellStyle name="Followed Hyperlink" xfId="71" builtinId="9" hidden="1"/>
    <cellStyle name="Followed Hyperlink" xfId="59" builtinId="9" hidden="1"/>
    <cellStyle name="Followed Hyperlink" xfId="49" builtinId="9" hidden="1"/>
    <cellStyle name="Followed Hyperlink" xfId="39" builtinId="9" hidden="1"/>
    <cellStyle name="Followed Hyperlink" xfId="27" builtinId="9" hidden="1"/>
    <cellStyle name="Followed Hyperlink" xfId="85" builtinId="9" hidden="1"/>
    <cellStyle name="Followed Hyperlink" xfId="101" builtinId="9" hidden="1"/>
    <cellStyle name="Followed Hyperlink" xfId="117" builtinId="9" hidden="1"/>
    <cellStyle name="Followed Hyperlink" xfId="133" builtinId="9" hidden="1"/>
    <cellStyle name="Followed Hyperlink" xfId="149" builtinId="9" hidden="1"/>
    <cellStyle name="Followed Hyperlink" xfId="165" builtinId="9" hidden="1"/>
    <cellStyle name="Followed Hyperlink" xfId="181" builtinId="9" hidden="1"/>
    <cellStyle name="Followed Hyperlink" xfId="197" builtinId="9" hidden="1"/>
    <cellStyle name="Followed Hyperlink" xfId="213" builtinId="9" hidden="1"/>
    <cellStyle name="Followed Hyperlink" xfId="229" builtinId="9" hidden="1"/>
    <cellStyle name="Followed Hyperlink" xfId="245" builtinId="9" hidden="1"/>
    <cellStyle name="Followed Hyperlink" xfId="261" builtinId="9" hidden="1"/>
    <cellStyle name="Followed Hyperlink" xfId="277" builtinId="9" hidden="1"/>
    <cellStyle name="Followed Hyperlink" xfId="275" builtinId="9" hidden="1"/>
    <cellStyle name="Followed Hyperlink" xfId="259" builtinId="9" hidden="1"/>
    <cellStyle name="Followed Hyperlink" xfId="243" builtinId="9" hidden="1"/>
    <cellStyle name="Followed Hyperlink" xfId="227" builtinId="9" hidden="1"/>
    <cellStyle name="Followed Hyperlink" xfId="211" builtinId="9" hidden="1"/>
    <cellStyle name="Followed Hyperlink" xfId="127" builtinId="9" hidden="1"/>
    <cellStyle name="Followed Hyperlink" xfId="135" builtinId="9" hidden="1"/>
    <cellStyle name="Followed Hyperlink" xfId="147" builtinId="9" hidden="1"/>
    <cellStyle name="Followed Hyperlink" xfId="159" builtinId="9" hidden="1"/>
    <cellStyle name="Followed Hyperlink" xfId="167" builtinId="9" hidden="1"/>
    <cellStyle name="Followed Hyperlink" xfId="179" builtinId="9" hidden="1"/>
    <cellStyle name="Followed Hyperlink" xfId="191" builtinId="9" hidden="1"/>
    <cellStyle name="Followed Hyperlink" xfId="199" builtinId="9" hidden="1"/>
    <cellStyle name="Followed Hyperlink" xfId="203" builtinId="9" hidden="1"/>
    <cellStyle name="Followed Hyperlink" xfId="171" builtinId="9" hidden="1"/>
    <cellStyle name="Followed Hyperlink" xfId="139" builtinId="9" hidden="1"/>
    <cellStyle name="Followed Hyperlink" xfId="95" builtinId="9" hidden="1"/>
    <cellStyle name="Followed Hyperlink" xfId="103" builtinId="9" hidden="1"/>
    <cellStyle name="Followed Hyperlink" xfId="111" builtinId="9" hidden="1"/>
    <cellStyle name="Followed Hyperlink" xfId="91" builtinId="9" hidden="1"/>
    <cellStyle name="Followed Hyperlink" xfId="87" builtinId="9" hidden="1"/>
    <cellStyle name="Followed Hyperlink" xfId="75" builtinId="9" hidden="1"/>
    <cellStyle name="Followed Hyperlink" xfId="79" builtinId="9" hidden="1"/>
    <cellStyle name="Followed Hyperlink" xfId="83" builtinId="9" hidden="1"/>
    <cellStyle name="Followed Hyperlink" xfId="115" builtinId="9" hidden="1"/>
    <cellStyle name="Followed Hyperlink" xfId="107" builtinId="9" hidden="1"/>
    <cellStyle name="Followed Hyperlink" xfId="99" builtinId="9" hidden="1"/>
    <cellStyle name="Followed Hyperlink" xfId="123" builtinId="9" hidden="1"/>
    <cellStyle name="Followed Hyperlink" xfId="155" builtinId="9" hidden="1"/>
    <cellStyle name="Followed Hyperlink" xfId="187" builtinId="9" hidden="1"/>
    <cellStyle name="Followed Hyperlink" xfId="207" builtinId="9" hidden="1"/>
    <cellStyle name="Followed Hyperlink" xfId="195" builtinId="9" hidden="1"/>
    <cellStyle name="Followed Hyperlink" xfId="183" builtinId="9" hidden="1"/>
    <cellStyle name="Followed Hyperlink" xfId="175" builtinId="9" hidden="1"/>
    <cellStyle name="Followed Hyperlink" xfId="163" builtinId="9" hidden="1"/>
    <cellStyle name="Followed Hyperlink" xfId="151" builtinId="9" hidden="1"/>
    <cellStyle name="Followed Hyperlink" xfId="143" builtinId="9" hidden="1"/>
    <cellStyle name="Followed Hyperlink" xfId="131" builtinId="9" hidden="1"/>
    <cellStyle name="Followed Hyperlink" xfId="119" builtinId="9" hidden="1"/>
    <cellStyle name="Followed Hyperlink" xfId="219" builtinId="9" hidden="1"/>
    <cellStyle name="Followed Hyperlink" xfId="235" builtinId="9" hidden="1"/>
    <cellStyle name="Followed Hyperlink" xfId="251" builtinId="9" hidden="1"/>
    <cellStyle name="Followed Hyperlink" xfId="267" builtinId="9" hidden="1"/>
    <cellStyle name="Followed Hyperlink" xfId="283" builtinId="9" hidden="1"/>
    <cellStyle name="Followed Hyperlink" xfId="269" builtinId="9" hidden="1"/>
    <cellStyle name="Followed Hyperlink" xfId="253" builtinId="9" hidden="1"/>
    <cellStyle name="Followed Hyperlink" xfId="237" builtinId="9" hidden="1"/>
    <cellStyle name="Followed Hyperlink" xfId="221" builtinId="9" hidden="1"/>
    <cellStyle name="Followed Hyperlink" xfId="205" builtinId="9" hidden="1"/>
    <cellStyle name="Followed Hyperlink" xfId="189" builtinId="9" hidden="1"/>
    <cellStyle name="Followed Hyperlink" xfId="173" builtinId="9" hidden="1"/>
    <cellStyle name="Followed Hyperlink" xfId="157" builtinId="9" hidden="1"/>
    <cellStyle name="Followed Hyperlink" xfId="141" builtinId="9" hidden="1"/>
    <cellStyle name="Followed Hyperlink" xfId="125" builtinId="9" hidden="1"/>
    <cellStyle name="Followed Hyperlink" xfId="109" builtinId="9" hidden="1"/>
    <cellStyle name="Followed Hyperlink" xfId="93" builtinId="9" hidden="1"/>
    <cellStyle name="Followed Hyperlink" xfId="77" builtinId="9" hidden="1"/>
    <cellStyle name="Followed Hyperlink" xfId="33" builtinId="9" hidden="1"/>
    <cellStyle name="Followed Hyperlink" xfId="43" builtinId="9" hidden="1"/>
    <cellStyle name="Followed Hyperlink" xfId="55" builtinId="9" hidden="1"/>
    <cellStyle name="Followed Hyperlink" xfId="65" builtinId="9" hidden="1"/>
    <cellStyle name="Followed Hyperlink" xfId="61" builtinId="9" hidden="1"/>
    <cellStyle name="Followed Hyperlink" xfId="29" builtinId="9" hidden="1"/>
    <cellStyle name="Followed Hyperlink" xfId="21" builtinId="9" hidden="1"/>
    <cellStyle name="Followed Hyperlink" xfId="9" builtinId="9" hidden="1"/>
    <cellStyle name="Followed Hyperlink" xfId="3" builtinId="9" hidden="1"/>
    <cellStyle name="Followed Hyperlink" xfId="13" builtinId="9" hidden="1"/>
    <cellStyle name="Followed Hyperlink" xfId="19" builtinId="9" hidden="1"/>
    <cellStyle name="Followed Hyperlink" xfId="37" builtinId="9" hidden="1"/>
    <cellStyle name="Followed Hyperlink" xfId="69" builtinId="9" hidden="1"/>
    <cellStyle name="Followed Hyperlink" xfId="63" builtinId="9" hidden="1"/>
    <cellStyle name="Followed Hyperlink" xfId="51" builtinId="9" hidden="1"/>
    <cellStyle name="Followed Hyperlink" xfId="41" builtinId="9" hidden="1"/>
    <cellStyle name="Followed Hyperlink" xfId="31" builtinId="9" hidden="1"/>
    <cellStyle name="Followed Hyperlink" xfId="81" builtinId="9" hidden="1"/>
    <cellStyle name="Followed Hyperlink" xfId="265" builtinId="9" hidden="1"/>
    <cellStyle name="Followed Hyperlink" xfId="249" builtinId="9" hidden="1"/>
    <cellStyle name="Followed Hyperlink" xfId="241" builtinId="9" hidden="1"/>
    <cellStyle name="Followed Hyperlink" xfId="233" builtinId="9" hidden="1"/>
    <cellStyle name="Followed Hyperlink" xfId="217" builtinId="9" hidden="1"/>
    <cellStyle name="Followed Hyperlink" xfId="209" builtinId="9" hidden="1"/>
    <cellStyle name="Followed Hyperlink" xfId="201" builtinId="9" hidden="1"/>
    <cellStyle name="Followed Hyperlink" xfId="185" builtinId="9" hidden="1"/>
    <cellStyle name="Followed Hyperlink" xfId="177" builtinId="9" hidden="1"/>
    <cellStyle name="Followed Hyperlink" xfId="169" builtinId="9" hidden="1"/>
    <cellStyle name="Followed Hyperlink" xfId="153" builtinId="9" hidden="1"/>
    <cellStyle name="Followed Hyperlink" xfId="145" builtinId="9" hidden="1"/>
    <cellStyle name="Followed Hyperlink" xfId="137" builtinId="9" hidden="1"/>
    <cellStyle name="Followed Hyperlink" xfId="121" builtinId="9" hidden="1"/>
    <cellStyle name="Followed Hyperlink" xfId="113" builtinId="9" hidden="1"/>
    <cellStyle name="Followed Hyperlink" xfId="105" builtinId="9" hidden="1"/>
    <cellStyle name="Followed Hyperlink" xfId="89" builtinId="9" hidden="1"/>
    <cellStyle name="Followed Hyperlink" xfId="97" builtinId="9" hidden="1"/>
    <cellStyle name="Followed Hyperlink" xfId="129" builtinId="9" hidden="1"/>
    <cellStyle name="Followed Hyperlink" xfId="161" builtinId="9" hidden="1"/>
    <cellStyle name="Followed Hyperlink" xfId="193" builtinId="9" hidden="1"/>
    <cellStyle name="Followed Hyperlink" xfId="225" builtinId="9" hidden="1"/>
    <cellStyle name="Followed Hyperlink" xfId="257" builtinId="9" hidden="1"/>
    <cellStyle name="Followed Hyperlink" xfId="255" builtinId="9" hidden="1"/>
    <cellStyle name="Followed Hyperlink" xfId="263" builtinId="9" hidden="1"/>
    <cellStyle name="Followed Hyperlink" xfId="271" builtinId="9" hidden="1"/>
    <cellStyle name="Followed Hyperlink" xfId="279" builtinId="9" hidden="1"/>
    <cellStyle name="Followed Hyperlink" xfId="281" builtinId="9" hidden="1"/>
    <cellStyle name="Followed Hyperlink" xfId="273" builtinId="9" hidden="1"/>
    <cellStyle name="Followed Hyperlink" xfId="247" builtinId="9" hidden="1"/>
    <cellStyle name="Followed Hyperlink" xfId="231" builtinId="9" hidden="1"/>
    <cellStyle name="Followed Hyperlink" xfId="239" builtinId="9" hidden="1"/>
    <cellStyle name="Followed Hyperlink" xfId="223" builtinId="9" hidden="1"/>
    <cellStyle name="Followed Hyperlink" xfId="215" builtinId="9" hidden="1"/>
    <cellStyle name="Hyperlink" xfId="4" builtinId="8" hidden="1"/>
    <cellStyle name="Hyperlink" xfId="24" builtinId="8" hidden="1"/>
    <cellStyle name="Hyperlink" xfId="50" builtinId="8" hidden="1"/>
    <cellStyle name="Hyperlink" xfId="42" builtinId="8" hidden="1"/>
    <cellStyle name="Hyperlink" xfId="34" builtinId="8" hidden="1"/>
    <cellStyle name="Hyperlink" xfId="120" builtinId="8" hidden="1"/>
    <cellStyle name="Hyperlink" xfId="114" builtinId="8" hidden="1"/>
    <cellStyle name="Hyperlink" xfId="106" builtinId="8" hidden="1"/>
    <cellStyle name="Hyperlink" xfId="86" builtinId="8" hidden="1"/>
    <cellStyle name="Hyperlink" xfId="78" builtinId="8" hidden="1"/>
    <cellStyle name="Hyperlink" xfId="68" builtinId="8" hidden="1"/>
    <cellStyle name="Hyperlink" xfId="136" builtinId="8" hidden="1"/>
    <cellStyle name="Hyperlink" xfId="168" builtinId="8" hidden="1"/>
    <cellStyle name="Hyperlink" xfId="200" builtinId="8" hidden="1"/>
    <cellStyle name="Hyperlink" xfId="264" builtinId="8" hidden="1"/>
    <cellStyle name="Hyperlink" xfId="190" builtinId="8" hidden="1"/>
    <cellStyle name="Hyperlink" xfId="196" builtinId="8" hidden="1"/>
    <cellStyle name="Hyperlink" xfId="202" builtinId="8" hidden="1"/>
    <cellStyle name="Hyperlink" xfId="204" builtinId="8" hidden="1"/>
    <cellStyle name="Hyperlink" xfId="206" builtinId="8" hidden="1"/>
    <cellStyle name="Hyperlink" xfId="212" builtinId="8" hidden="1"/>
    <cellStyle name="Hyperlink" xfId="218" builtinId="8" hidden="1"/>
    <cellStyle name="Hyperlink" xfId="220" builtinId="8" hidden="1"/>
    <cellStyle name="Hyperlink" xfId="226" builtinId="8" hidden="1"/>
    <cellStyle name="Hyperlink" xfId="228" builtinId="8" hidden="1"/>
    <cellStyle name="Hyperlink" xfId="230" builtinId="8" hidden="1"/>
    <cellStyle name="Hyperlink" xfId="238" builtinId="8" hidden="1"/>
    <cellStyle name="Hyperlink" xfId="242" builtinId="8" hidden="1"/>
    <cellStyle name="Hyperlink" xfId="244" builtinId="8" hidden="1"/>
    <cellStyle name="Hyperlink" xfId="250" builtinId="8" hidden="1"/>
    <cellStyle name="Hyperlink" xfId="252" builtinId="8" hidden="1"/>
    <cellStyle name="Hyperlink" xfId="254" builtinId="8" hidden="1"/>
    <cellStyle name="Hyperlink" xfId="262" builtinId="8" hidden="1"/>
    <cellStyle name="Hyperlink" xfId="266" builtinId="8" hidden="1"/>
    <cellStyle name="Hyperlink" xfId="268" builtinId="8" hidden="1"/>
    <cellStyle name="Hyperlink" xfId="274" builtinId="8" hidden="1"/>
    <cellStyle name="Hyperlink" xfId="276" builtinId="8" hidden="1"/>
    <cellStyle name="Hyperlink" xfId="282" builtinId="8" hidden="1"/>
    <cellStyle name="Hyperlink" xfId="258" builtinId="8" hidden="1"/>
    <cellStyle name="Hyperlink" xfId="236" builtinId="8" hidden="1"/>
    <cellStyle name="Hyperlink" xfId="214" builtinId="8" hidden="1"/>
    <cellStyle name="Hyperlink" xfId="156" builtinId="8" hidden="1"/>
    <cellStyle name="Hyperlink" xfId="158" builtinId="8" hidden="1"/>
    <cellStyle name="Hyperlink" xfId="162" builtinId="8" hidden="1"/>
    <cellStyle name="Hyperlink" xfId="166" builtinId="8" hidden="1"/>
    <cellStyle name="Hyperlink" xfId="170" builtinId="8" hidden="1"/>
    <cellStyle name="Hyperlink" xfId="172" builtinId="8" hidden="1"/>
    <cellStyle name="Hyperlink" xfId="178" builtinId="8" hidden="1"/>
    <cellStyle name="Hyperlink" xfId="180" builtinId="8" hidden="1"/>
    <cellStyle name="Hyperlink" xfId="182" builtinId="8" hidden="1"/>
    <cellStyle name="Hyperlink" xfId="188" builtinId="8" hidden="1"/>
    <cellStyle name="Hyperlink" xfId="138" builtinId="8" hidden="1"/>
    <cellStyle name="Hyperlink" xfId="140" builtinId="8" hidden="1"/>
    <cellStyle name="Hyperlink" xfId="146" builtinId="8" hidden="1"/>
    <cellStyle name="Hyperlink" xfId="148" builtinId="8" hidden="1"/>
    <cellStyle name="Hyperlink" xfId="154" builtinId="8" hidden="1"/>
    <cellStyle name="Hyperlink" xfId="130" builtinId="8" hidden="1"/>
    <cellStyle name="Hyperlink" xfId="132" builtinId="8" hidden="1"/>
    <cellStyle name="Hyperlink" xfId="134" builtinId="8" hidden="1"/>
    <cellStyle name="Hyperlink" xfId="124" builtinId="8" hidden="1"/>
    <cellStyle name="Hyperlink" xfId="126" builtinId="8" hidden="1"/>
    <cellStyle name="Hyperlink" xfId="150" builtinId="8" hidden="1"/>
    <cellStyle name="Hyperlink" xfId="142" builtinId="8" hidden="1"/>
    <cellStyle name="Hyperlink" xfId="186" builtinId="8" hidden="1"/>
    <cellStyle name="Hyperlink" xfId="174" builtinId="8" hidden="1"/>
    <cellStyle name="Hyperlink" xfId="164" builtinId="8" hidden="1"/>
    <cellStyle name="Hyperlink" xfId="194" builtinId="8" hidden="1"/>
    <cellStyle name="Hyperlink" xfId="278" builtinId="8" hidden="1"/>
    <cellStyle name="Hyperlink" xfId="270" builtinId="8" hidden="1"/>
    <cellStyle name="Hyperlink" xfId="260" builtinId="8" hidden="1"/>
    <cellStyle name="Hyperlink" xfId="246" builtinId="8" hidden="1"/>
    <cellStyle name="Hyperlink" xfId="234" builtinId="8" hidden="1"/>
    <cellStyle name="Hyperlink" xfId="222" builtinId="8" hidden="1"/>
    <cellStyle name="Hyperlink" xfId="210" builtinId="8" hidden="1"/>
    <cellStyle name="Hyperlink" xfId="198" builtinId="8" hidden="1"/>
    <cellStyle name="Hyperlink" xfId="232" builtinId="8" hidden="1"/>
    <cellStyle name="Hyperlink" xfId="60" builtinId="8" hidden="1"/>
    <cellStyle name="Hyperlink" xfId="96" builtinId="8" hidden="1"/>
    <cellStyle name="Hyperlink" xfId="56" builtinId="8" hidden="1"/>
    <cellStyle name="Hyperlink" xfId="18" builtinId="8" hidden="1"/>
    <cellStyle name="Hyperlink" xfId="84" builtinId="8" hidden="1"/>
    <cellStyle name="Hyperlink" xfId="92" builtinId="8" hidden="1"/>
    <cellStyle name="Hyperlink" xfId="94" builtinId="8" hidden="1"/>
    <cellStyle name="Hyperlink" xfId="98" builtinId="8" hidden="1"/>
    <cellStyle name="Hyperlink" xfId="100" builtinId="8" hidden="1"/>
    <cellStyle name="Hyperlink" xfId="102" builtinId="8" hidden="1"/>
    <cellStyle name="Hyperlink" xfId="108" builtinId="8" hidden="1"/>
    <cellStyle name="Hyperlink" xfId="110" builtinId="8" hidden="1"/>
    <cellStyle name="Hyperlink" xfId="116" builtinId="8" hidden="1"/>
    <cellStyle name="Hyperlink" xfId="118" builtinId="8" hidden="1"/>
    <cellStyle name="Hyperlink" xfId="122" builtinId="8" hidden="1"/>
    <cellStyle name="Hyperlink" xfId="104" builtinId="8" hidden="1"/>
    <cellStyle name="Hyperlink" xfId="88" builtinId="8" hidden="1"/>
    <cellStyle name="Hyperlink" xfId="72" builtinId="8" hidden="1"/>
    <cellStyle name="Hyperlink" xfId="28" builtinId="8" hidden="1"/>
    <cellStyle name="Hyperlink" xfId="32" builtinId="8" hidden="1"/>
    <cellStyle name="Hyperlink" xfId="36" builtinId="8" hidden="1"/>
    <cellStyle name="Hyperlink" xfId="38" builtinId="8" hidden="1"/>
    <cellStyle name="Hyperlink" xfId="40" builtinId="8" hidden="1"/>
    <cellStyle name="Hyperlink" xfId="44" builtinId="8" hidden="1"/>
    <cellStyle name="Hyperlink" xfId="46" builtinId="8" hidden="1"/>
    <cellStyle name="Hyperlink" xfId="48" builtinId="8" hidden="1"/>
    <cellStyle name="Hyperlink" xfId="14" builtinId="8" hidden="1"/>
    <cellStyle name="Hyperlink" xfId="16" builtinId="8" hidden="1"/>
    <cellStyle name="Hyperlink" xfId="20" builtinId="8" hidden="1"/>
    <cellStyle name="Hyperlink" xfId="22" builtinId="8" hidden="1"/>
    <cellStyle name="Hyperlink" xfId="26" builtinId="8" hidden="1"/>
    <cellStyle name="Hyperlink" xfId="8" builtinId="8" hidden="1"/>
    <cellStyle name="Hyperlink" xfId="10" builtinId="8" hidden="1"/>
    <cellStyle name="Hyperlink" xfId="2" builtinId="8" hidden="1"/>
    <cellStyle name="Hyperlink" xfId="12" builtinId="8" hidden="1"/>
    <cellStyle name="Hyperlink" xfId="52" builtinId="8" hidden="1"/>
    <cellStyle name="Hyperlink" xfId="30" builtinId="8" hidden="1"/>
    <cellStyle name="Hyperlink" xfId="112" builtinId="8" hidden="1"/>
    <cellStyle name="Hyperlink" xfId="90" builtinId="8" hidden="1"/>
    <cellStyle name="Hyperlink" xfId="152" builtinId="8" hidden="1"/>
    <cellStyle name="Hyperlink" xfId="144" builtinId="8" hidden="1"/>
    <cellStyle name="Hyperlink" xfId="128" builtinId="8" hidden="1"/>
    <cellStyle name="Hyperlink" xfId="54" builtinId="8" hidden="1"/>
    <cellStyle name="Hyperlink" xfId="58" builtinId="8" hidden="1"/>
    <cellStyle name="Hyperlink" xfId="62" builtinId="8" hidden="1"/>
    <cellStyle name="Hyperlink" xfId="64" builtinId="8" hidden="1"/>
    <cellStyle name="Hyperlink" xfId="66" builtinId="8" hidden="1"/>
    <cellStyle name="Hyperlink" xfId="70" builtinId="8" hidden="1"/>
    <cellStyle name="Hyperlink" xfId="74" builtinId="8" hidden="1"/>
    <cellStyle name="Hyperlink" xfId="76" builtinId="8" hidden="1"/>
    <cellStyle name="Hyperlink" xfId="80" builtinId="8" hidden="1"/>
    <cellStyle name="Hyperlink" xfId="82" builtinId="8" hidden="1"/>
    <cellStyle name="Hyperlink" xfId="224" builtinId="8" hidden="1"/>
    <cellStyle name="Hyperlink" xfId="216" builtinId="8" hidden="1"/>
    <cellStyle name="Hyperlink" xfId="208" builtinId="8" hidden="1"/>
    <cellStyle name="Hyperlink" xfId="192" builtinId="8" hidden="1"/>
    <cellStyle name="Hyperlink" xfId="184" builtinId="8" hidden="1"/>
    <cellStyle name="Hyperlink" xfId="160" builtinId="8" hidden="1"/>
    <cellStyle name="Hyperlink" xfId="176" builtinId="8" hidden="1"/>
    <cellStyle name="Hyperlink" xfId="256" builtinId="8" hidden="1"/>
    <cellStyle name="Hyperlink" xfId="248" builtinId="8" hidden="1"/>
    <cellStyle name="Hyperlink" xfId="240" builtinId="8" hidden="1"/>
    <cellStyle name="Hyperlink" xfId="272" builtinId="8" hidden="1"/>
    <cellStyle name="Hyperlink" xfId="280" builtinId="8" hidden="1"/>
    <cellStyle name="Normal" xfId="0" builtinId="0"/>
    <cellStyle name="Normal_Sheet2" xfId="7" xr:uid="{00000000-0005-0000-0000-00001A010000}"/>
    <cellStyle name="Per cent" xfId="6" builtinId="5"/>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M48"/>
  <sheetViews>
    <sheetView tabSelected="1" topLeftCell="A6" workbookViewId="0">
      <selection activeCell="H24" sqref="H24"/>
    </sheetView>
  </sheetViews>
  <sheetFormatPr defaultColWidth="11.19921875" defaultRowHeight="15.6" x14ac:dyDescent="0.3"/>
  <cols>
    <col min="1" max="1" width="4.19921875" customWidth="1"/>
    <col min="2" max="2" width="10.69921875" customWidth="1"/>
    <col min="3" max="3" width="43.19921875" customWidth="1"/>
    <col min="4" max="8" width="13" customWidth="1"/>
    <col min="9" max="9" width="13" style="88" customWidth="1"/>
    <col min="10" max="11" width="13" style="64" customWidth="1"/>
    <col min="12" max="12" width="51.5" customWidth="1"/>
    <col min="13" max="13" width="61.5" customWidth="1"/>
  </cols>
  <sheetData>
    <row r="1" spans="2:13" ht="16.2" hidden="1" customHeight="1" thickBot="1" x14ac:dyDescent="0.35"/>
    <row r="2" spans="2:13" ht="21" x14ac:dyDescent="0.3">
      <c r="B2" s="299" t="s">
        <v>147</v>
      </c>
      <c r="C2" s="300"/>
      <c r="D2" s="301"/>
      <c r="E2" s="301"/>
      <c r="F2" s="301"/>
      <c r="G2" s="301"/>
      <c r="H2" s="301"/>
      <c r="I2" s="302"/>
      <c r="J2" s="303"/>
      <c r="K2" s="303"/>
      <c r="L2" s="304"/>
    </row>
    <row r="3" spans="2:13" ht="21" x14ac:dyDescent="0.3">
      <c r="B3" s="305" t="s">
        <v>0</v>
      </c>
      <c r="C3" s="306"/>
      <c r="D3" s="306"/>
      <c r="E3" s="307"/>
      <c r="F3" s="307"/>
      <c r="G3" s="308"/>
      <c r="H3" s="309"/>
      <c r="I3" s="310"/>
      <c r="J3" s="309"/>
      <c r="K3" s="309"/>
      <c r="L3" s="311"/>
    </row>
    <row r="4" spans="2:13" ht="63" thickBot="1" x14ac:dyDescent="0.35">
      <c r="B4" s="312" t="s">
        <v>1</v>
      </c>
      <c r="C4" s="313" t="s">
        <v>2</v>
      </c>
      <c r="D4" s="314" t="s">
        <v>150</v>
      </c>
      <c r="E4" s="314" t="s">
        <v>126</v>
      </c>
      <c r="F4" s="314" t="s">
        <v>151</v>
      </c>
      <c r="G4" s="314" t="s">
        <v>152</v>
      </c>
      <c r="H4" s="314" t="s">
        <v>153</v>
      </c>
      <c r="I4" s="315" t="s">
        <v>154</v>
      </c>
      <c r="J4" s="314" t="s">
        <v>155</v>
      </c>
      <c r="K4" s="314" t="s">
        <v>156</v>
      </c>
      <c r="L4" s="316" t="s">
        <v>3</v>
      </c>
    </row>
    <row r="5" spans="2:13" x14ac:dyDescent="0.3">
      <c r="B5" s="40"/>
      <c r="C5" s="31"/>
      <c r="D5" s="6"/>
      <c r="E5" s="33"/>
      <c r="F5" s="33"/>
      <c r="G5" s="6"/>
      <c r="H5" s="6"/>
      <c r="I5" s="89"/>
      <c r="J5" s="90"/>
      <c r="K5" s="90"/>
      <c r="L5" s="32"/>
    </row>
    <row r="6" spans="2:13" ht="37.200000000000003" customHeight="1" x14ac:dyDescent="0.3">
      <c r="B6" s="41">
        <v>100</v>
      </c>
      <c r="C6" s="5" t="s">
        <v>4</v>
      </c>
      <c r="D6" s="403">
        <f>+'100 Income'!D28</f>
        <v>200092</v>
      </c>
      <c r="E6" s="403">
        <f>+'100 Income'!E28</f>
        <v>186246</v>
      </c>
      <c r="F6" s="403">
        <f>+'100 Income'!F28</f>
        <v>95486.68</v>
      </c>
      <c r="G6" s="444">
        <f>+'100 Income'!G28</f>
        <v>191487.5</v>
      </c>
      <c r="H6" s="457">
        <f>+'100 Income'!H28</f>
        <v>201652.5</v>
      </c>
      <c r="I6" s="464">
        <f>IFERROR(G6/E6,"n/a")</f>
        <v>1.0281428862901754</v>
      </c>
      <c r="J6" s="464">
        <f>IFERROR(H6/E6,"n/a")</f>
        <v>1.0827212396507844</v>
      </c>
      <c r="K6" s="464">
        <f>IFERROR(H6/G6,"n/a")</f>
        <v>1.0530844049872707</v>
      </c>
      <c r="L6" s="103" t="s">
        <v>121</v>
      </c>
    </row>
    <row r="7" spans="2:13" x14ac:dyDescent="0.3">
      <c r="B7" s="40"/>
      <c r="C7" s="8"/>
      <c r="D7" s="99"/>
      <c r="E7" s="99"/>
      <c r="F7" s="99"/>
      <c r="G7" s="117"/>
      <c r="H7" s="390"/>
      <c r="I7" s="465"/>
      <c r="J7" s="465"/>
      <c r="K7" s="465"/>
      <c r="L7" s="81"/>
    </row>
    <row r="8" spans="2:13" x14ac:dyDescent="0.3">
      <c r="B8" s="42">
        <v>101</v>
      </c>
      <c r="C8" s="7" t="s">
        <v>5</v>
      </c>
      <c r="D8" s="404">
        <f>+'101 Admin'!D26</f>
        <v>97363</v>
      </c>
      <c r="E8" s="404">
        <f>+'101 Admin'!E26</f>
        <v>98237</v>
      </c>
      <c r="F8" s="404">
        <f>+'101 Admin'!F26</f>
        <v>46093</v>
      </c>
      <c r="G8" s="445">
        <f>+'101 Admin'!G26</f>
        <v>95493</v>
      </c>
      <c r="H8" s="458">
        <f>+'101 Admin'!H26</f>
        <v>118559.9</v>
      </c>
      <c r="I8" s="466">
        <f t="shared" ref="I8:I13" si="0">IFERROR(G8/E8,"n/a")</f>
        <v>0.97206755092276842</v>
      </c>
      <c r="J8" s="466">
        <f t="shared" ref="J8:J13" si="1">IFERROR(H8/E8,"n/a")</f>
        <v>1.2068762278978389</v>
      </c>
      <c r="K8" s="466">
        <f t="shared" ref="K8:K13" si="2">IFERROR(H8/G8,"n/a")</f>
        <v>1.2415559255652246</v>
      </c>
      <c r="L8" s="82" t="s">
        <v>120</v>
      </c>
    </row>
    <row r="9" spans="2:13" x14ac:dyDescent="0.3">
      <c r="B9" s="42">
        <v>101</v>
      </c>
      <c r="C9" s="7" t="s">
        <v>6</v>
      </c>
      <c r="D9" s="404">
        <f>'101 Admin'!D31</f>
        <v>17580</v>
      </c>
      <c r="E9" s="404">
        <f>'101 Admin'!E31</f>
        <v>22082</v>
      </c>
      <c r="F9" s="404">
        <f>'101 Admin'!F31</f>
        <v>0</v>
      </c>
      <c r="G9" s="445">
        <f>'101 Admin'!G31</f>
        <v>22082</v>
      </c>
      <c r="H9" s="458">
        <f>'101 Admin'!H31</f>
        <v>18489</v>
      </c>
      <c r="I9" s="466">
        <f t="shared" si="0"/>
        <v>1</v>
      </c>
      <c r="J9" s="466">
        <f t="shared" si="1"/>
        <v>0.8372882891042478</v>
      </c>
      <c r="K9" s="466">
        <f t="shared" si="2"/>
        <v>0.8372882891042478</v>
      </c>
      <c r="L9" s="82" t="s">
        <v>120</v>
      </c>
    </row>
    <row r="10" spans="2:13" x14ac:dyDescent="0.3">
      <c r="B10" s="42">
        <v>105</v>
      </c>
      <c r="C10" s="7" t="s">
        <v>266</v>
      </c>
      <c r="D10" s="404">
        <f>+'105 Community'!D20</f>
        <v>3036</v>
      </c>
      <c r="E10" s="404">
        <f>+'105 Community'!E20</f>
        <v>6046</v>
      </c>
      <c r="F10" s="404">
        <f>+'105 Community'!F20</f>
        <v>529</v>
      </c>
      <c r="G10" s="445">
        <f>+'105 Community'!G20</f>
        <v>3434</v>
      </c>
      <c r="H10" s="458">
        <f>+'105 Community'!H20</f>
        <v>14651</v>
      </c>
      <c r="I10" s="467">
        <f t="shared" si="0"/>
        <v>0.56797882897783658</v>
      </c>
      <c r="J10" s="467">
        <f t="shared" si="1"/>
        <v>2.4232550446576249</v>
      </c>
      <c r="K10" s="467">
        <f t="shared" si="2"/>
        <v>4.2664531158998251</v>
      </c>
      <c r="L10" s="82" t="s">
        <v>269</v>
      </c>
      <c r="M10">
        <f>3228.42+25628.85</f>
        <v>28857.269999999997</v>
      </c>
    </row>
    <row r="11" spans="2:13" x14ac:dyDescent="0.3">
      <c r="B11" s="42">
        <v>106</v>
      </c>
      <c r="C11" s="7" t="s">
        <v>264</v>
      </c>
      <c r="D11" s="404">
        <f>+'106 Estate Managment'!D33</f>
        <v>29708</v>
      </c>
      <c r="E11" s="404">
        <f>+'106 Estate Managment'!E33</f>
        <v>47381</v>
      </c>
      <c r="F11" s="404">
        <f>+'106 Estate Managment'!F33</f>
        <v>8478</v>
      </c>
      <c r="G11" s="445">
        <f>+'106 Estate Managment'!G33</f>
        <v>44168.979999999996</v>
      </c>
      <c r="H11" s="458">
        <f>+'106 Estate Managment'!H33</f>
        <v>44203.05</v>
      </c>
      <c r="I11" s="467">
        <f t="shared" si="0"/>
        <v>0.93220869124754635</v>
      </c>
      <c r="J11" s="467">
        <f t="shared" si="1"/>
        <v>0.93292775585150167</v>
      </c>
      <c r="K11" s="467">
        <f t="shared" si="2"/>
        <v>1.0007713558248348</v>
      </c>
      <c r="L11" s="82" t="s">
        <v>270</v>
      </c>
    </row>
    <row r="12" spans="2:13" x14ac:dyDescent="0.3">
      <c r="B12" s="42">
        <v>107</v>
      </c>
      <c r="C12" s="7" t="s">
        <v>265</v>
      </c>
      <c r="D12" s="404">
        <f>+'107 Planning and Highways'!D24</f>
        <v>3913</v>
      </c>
      <c r="E12" s="404">
        <f>+'107 Planning and Highways'!E24</f>
        <v>13650</v>
      </c>
      <c r="F12" s="404">
        <f>+'107 Planning and Highways'!F24</f>
        <v>-1220</v>
      </c>
      <c r="G12" s="445">
        <f>+'107 Planning and Highways'!G24</f>
        <v>2100</v>
      </c>
      <c r="H12" s="458">
        <f>+'107 Planning and Highways'!H24</f>
        <v>5750</v>
      </c>
      <c r="I12" s="467">
        <f t="shared" si="0"/>
        <v>0.15384615384615385</v>
      </c>
      <c r="J12" s="467">
        <f t="shared" si="1"/>
        <v>0.42124542124542125</v>
      </c>
      <c r="K12" s="467">
        <f t="shared" si="2"/>
        <v>2.7380952380952381</v>
      </c>
      <c r="L12" s="82" t="s">
        <v>274</v>
      </c>
    </row>
    <row r="13" spans="2:13" ht="30" customHeight="1" x14ac:dyDescent="0.3">
      <c r="B13" s="43"/>
      <c r="C13" s="38" t="s">
        <v>7</v>
      </c>
      <c r="D13" s="97">
        <f>SUM(D8:D12)</f>
        <v>151600</v>
      </c>
      <c r="E13" s="97">
        <f>SUM(E8:E12)</f>
        <v>187396</v>
      </c>
      <c r="F13" s="97">
        <f>SUM(F8:F12)</f>
        <v>53880</v>
      </c>
      <c r="G13" s="425">
        <f>SUM(G8:G12)</f>
        <v>167277.97999999998</v>
      </c>
      <c r="H13" s="459">
        <f>SUM(H8:H12)</f>
        <v>201652.95</v>
      </c>
      <c r="I13" s="468">
        <f t="shared" si="0"/>
        <v>0.89264434673098669</v>
      </c>
      <c r="J13" s="468">
        <f t="shared" si="1"/>
        <v>1.0760792652991527</v>
      </c>
      <c r="K13" s="468">
        <f t="shared" si="2"/>
        <v>1.2054960850196783</v>
      </c>
      <c r="L13" s="101"/>
    </row>
    <row r="14" spans="2:13" x14ac:dyDescent="0.3">
      <c r="B14" s="40"/>
      <c r="C14" s="8"/>
      <c r="D14" s="352"/>
      <c r="E14" s="352"/>
      <c r="F14" s="13"/>
      <c r="G14" s="117"/>
      <c r="H14" s="460"/>
      <c r="I14" s="469"/>
      <c r="J14" s="469"/>
      <c r="K14" s="469"/>
      <c r="L14" s="83"/>
    </row>
    <row r="15" spans="2:13" ht="47.4" thickBot="1" x14ac:dyDescent="0.35">
      <c r="B15" s="44"/>
      <c r="C15" s="74" t="s">
        <v>8</v>
      </c>
      <c r="D15" s="407">
        <f>+D6-D13</f>
        <v>48492</v>
      </c>
      <c r="E15" s="407">
        <f>+E6-E13</f>
        <v>-1150</v>
      </c>
      <c r="F15" s="407">
        <f>+F6-F13</f>
        <v>41606.679999999993</v>
      </c>
      <c r="G15" s="446">
        <f>+G6-G13</f>
        <v>24209.520000000019</v>
      </c>
      <c r="H15" s="461">
        <f>+H6-H13</f>
        <v>-0.45000000001164153</v>
      </c>
      <c r="I15" s="470"/>
      <c r="J15" s="470"/>
      <c r="K15" s="470"/>
      <c r="L15" s="104"/>
    </row>
    <row r="16" spans="2:13" x14ac:dyDescent="0.3">
      <c r="B16" s="230"/>
      <c r="C16" s="231"/>
      <c r="D16" s="353"/>
      <c r="E16" s="353"/>
      <c r="F16" s="400"/>
      <c r="G16" s="400"/>
      <c r="H16" s="400"/>
      <c r="I16" s="471"/>
      <c r="J16" s="471"/>
      <c r="K16" s="471"/>
      <c r="L16" s="232"/>
    </row>
    <row r="17" spans="2:13" x14ac:dyDescent="0.3">
      <c r="B17" s="239"/>
      <c r="C17" s="240" t="s">
        <v>92</v>
      </c>
      <c r="D17" s="352"/>
      <c r="E17" s="352"/>
      <c r="F17" s="13"/>
      <c r="G17" s="13"/>
      <c r="H17" s="13"/>
      <c r="I17" s="472"/>
      <c r="J17" s="472"/>
      <c r="K17" s="472"/>
      <c r="L17" s="241"/>
    </row>
    <row r="18" spans="2:13" x14ac:dyDescent="0.3">
      <c r="B18" s="242">
        <v>100</v>
      </c>
      <c r="C18" s="243" t="s">
        <v>131</v>
      </c>
      <c r="D18" s="1">
        <f>'100 Income'!D30</f>
        <v>81915</v>
      </c>
      <c r="E18" s="1">
        <f>+'100 Income'!E34</f>
        <v>0</v>
      </c>
      <c r="F18" s="1">
        <f>+'100 Income'!F34</f>
        <v>89022</v>
      </c>
      <c r="G18" s="421">
        <f>'100 Income'!G30</f>
        <v>173294.69999999998</v>
      </c>
      <c r="H18" s="98">
        <f>'100 Income'!H30</f>
        <v>87022.22</v>
      </c>
      <c r="I18" s="91" t="str">
        <f>IFERROR(G18/E18,"n/a")</f>
        <v>n/a</v>
      </c>
      <c r="J18" s="91" t="str">
        <f>IFERROR(H18/E18,"n/a")</f>
        <v>n/a</v>
      </c>
      <c r="K18" s="91">
        <f>IFERROR(H18/G18,"n/a")</f>
        <v>0.50216319368105322</v>
      </c>
      <c r="L18" s="241" t="s">
        <v>122</v>
      </c>
    </row>
    <row r="19" spans="2:13" x14ac:dyDescent="0.3">
      <c r="B19" s="242">
        <v>100</v>
      </c>
      <c r="C19" s="243" t="s">
        <v>96</v>
      </c>
      <c r="D19" s="1">
        <f>'100 Income'!D32</f>
        <v>0</v>
      </c>
      <c r="E19" s="1">
        <v>0</v>
      </c>
      <c r="F19" s="1">
        <v>0</v>
      </c>
      <c r="G19" s="421">
        <f>'100 Income'!G32</f>
        <v>0</v>
      </c>
      <c r="H19" s="98">
        <f>'100 Income'!H32</f>
        <v>0</v>
      </c>
      <c r="I19" s="91"/>
      <c r="J19" s="91"/>
      <c r="K19" s="91"/>
      <c r="L19" s="241" t="s">
        <v>123</v>
      </c>
    </row>
    <row r="20" spans="2:13" x14ac:dyDescent="0.3">
      <c r="B20" s="531"/>
      <c r="C20" s="533"/>
      <c r="D20" s="532"/>
      <c r="E20" s="1"/>
      <c r="F20" s="1"/>
      <c r="G20" s="1"/>
      <c r="H20" s="421"/>
      <c r="I20" s="98"/>
      <c r="J20" s="91"/>
      <c r="K20" s="91"/>
      <c r="L20" s="91"/>
      <c r="M20" s="244"/>
    </row>
    <row r="21" spans="2:13" x14ac:dyDescent="0.3">
      <c r="B21" s="242"/>
      <c r="C21" s="245" t="s">
        <v>103</v>
      </c>
      <c r="D21" s="85">
        <f>SUM(D18:D19)</f>
        <v>81915</v>
      </c>
      <c r="E21" s="85">
        <f>SUM(E18:E19)</f>
        <v>0</v>
      </c>
      <c r="F21" s="85">
        <f>SUM(F18:F19)</f>
        <v>89022</v>
      </c>
      <c r="G21" s="447">
        <f>SUM(G18:G19)</f>
        <v>173294.69999999998</v>
      </c>
      <c r="H21" s="388">
        <f>SUM(H18:H20)</f>
        <v>87022.22</v>
      </c>
      <c r="I21" s="473"/>
      <c r="J21" s="473"/>
      <c r="K21" s="473"/>
      <c r="L21" s="246"/>
    </row>
    <row r="22" spans="2:13" x14ac:dyDescent="0.3">
      <c r="B22" s="242"/>
      <c r="C22" s="243"/>
      <c r="D22" s="354"/>
      <c r="E22" s="1"/>
      <c r="F22" s="1"/>
      <c r="G22" s="421"/>
      <c r="H22" s="98"/>
      <c r="I22" s="91"/>
      <c r="J22" s="91"/>
      <c r="K22" s="91"/>
      <c r="L22" s="241"/>
    </row>
    <row r="23" spans="2:13" x14ac:dyDescent="0.3">
      <c r="B23" s="242"/>
      <c r="C23" s="240" t="s">
        <v>87</v>
      </c>
      <c r="D23" s="354"/>
      <c r="E23" s="1"/>
      <c r="F23" s="1"/>
      <c r="G23" s="421"/>
      <c r="H23" s="98"/>
      <c r="I23" s="91"/>
      <c r="J23" s="91"/>
      <c r="K23" s="91"/>
      <c r="L23" s="241"/>
    </row>
    <row r="24" spans="2:13" x14ac:dyDescent="0.3">
      <c r="B24" s="242">
        <v>101</v>
      </c>
      <c r="C24" s="243" t="s">
        <v>93</v>
      </c>
      <c r="D24" s="1">
        <f>'101 Admin'!D44</f>
        <v>3477</v>
      </c>
      <c r="E24" s="1">
        <f>'101 Admin'!E44</f>
        <v>0</v>
      </c>
      <c r="F24" s="1">
        <f>'101 Admin'!F44</f>
        <v>0</v>
      </c>
      <c r="G24" s="421">
        <f>'101 Admin'!G44</f>
        <v>0</v>
      </c>
      <c r="H24" s="98">
        <f>'101 Admin'!H44</f>
        <v>0</v>
      </c>
      <c r="I24" s="91" t="str">
        <f>IFERROR(G24/E24,"n/a")</f>
        <v>n/a</v>
      </c>
      <c r="J24" s="91" t="str">
        <f>IFERROR(H24/E24,"n/a")</f>
        <v>n/a</v>
      </c>
      <c r="K24" s="91" t="str">
        <f>IFERROR(H24/G24,"n/a")</f>
        <v>n/a</v>
      </c>
      <c r="L24" s="241" t="s">
        <v>124</v>
      </c>
    </row>
    <row r="25" spans="2:13" x14ac:dyDescent="0.3">
      <c r="B25" s="242">
        <v>104</v>
      </c>
      <c r="C25" s="243" t="s">
        <v>266</v>
      </c>
      <c r="D25" s="1">
        <f>'105 Community'!D29</f>
        <v>13498</v>
      </c>
      <c r="E25" s="1">
        <f>'105 Community'!E29</f>
        <v>0</v>
      </c>
      <c r="F25" s="1">
        <f>'105 Community'!F29</f>
        <v>6257</v>
      </c>
      <c r="G25" s="421">
        <f>'105 Community'!G29</f>
        <v>39721</v>
      </c>
      <c r="H25" s="98">
        <f>'105 Community'!H29</f>
        <v>329205</v>
      </c>
      <c r="I25" s="91" t="str">
        <f>IFERROR(G25/E25,"n/a")</f>
        <v>n/a</v>
      </c>
      <c r="J25" s="91" t="str">
        <f>IFERROR(H25/E25,"n/a")</f>
        <v>n/a</v>
      </c>
      <c r="K25" s="91">
        <f t="shared" ref="K25" si="3">IFERROR(H25/G25,"n/a")</f>
        <v>8.2879333350117061</v>
      </c>
      <c r="L25" s="241" t="s">
        <v>271</v>
      </c>
    </row>
    <row r="26" spans="2:13" x14ac:dyDescent="0.3">
      <c r="B26" s="242">
        <v>301</v>
      </c>
      <c r="C26" s="243" t="s">
        <v>264</v>
      </c>
      <c r="D26" s="1">
        <f>'106 Estate Managment'!D47</f>
        <v>17147</v>
      </c>
      <c r="E26" s="1">
        <f>'106 Estate Managment'!E47</f>
        <v>0</v>
      </c>
      <c r="F26" s="1">
        <f>'106 Estate Managment'!F47</f>
        <v>0</v>
      </c>
      <c r="G26" s="421">
        <f>'106 Estate Managment'!G47</f>
        <v>64965</v>
      </c>
      <c r="H26" s="98">
        <f>'106 Estate Managment'!H47</f>
        <v>102697</v>
      </c>
      <c r="I26" s="91" t="str">
        <f>IFERROR(G27/E26,"n/a")</f>
        <v>n/a</v>
      </c>
      <c r="J26" s="91" t="str">
        <f>IFERROR(H26/E26,"n/a")</f>
        <v>n/a</v>
      </c>
      <c r="K26" s="91">
        <f>IFERROR(H26/G27,"n/a")</f>
        <v>42.349278350515462</v>
      </c>
      <c r="L26" s="241" t="s">
        <v>272</v>
      </c>
    </row>
    <row r="27" spans="2:13" x14ac:dyDescent="0.3">
      <c r="B27" s="242">
        <v>302</v>
      </c>
      <c r="C27" s="243" t="s">
        <v>265</v>
      </c>
      <c r="D27" s="1">
        <f>'107 Planning and Highways'!D28</f>
        <v>2166</v>
      </c>
      <c r="E27" s="1">
        <f>'107 Planning and Highways'!E28</f>
        <v>0</v>
      </c>
      <c r="F27" s="1">
        <f>'107 Planning and Highways'!F28</f>
        <v>1100</v>
      </c>
      <c r="G27" s="421">
        <f>'107 Planning and Highways'!G28</f>
        <v>2425</v>
      </c>
      <c r="H27" s="98">
        <f>'107 Planning and Highways'!H28</f>
        <v>25000</v>
      </c>
      <c r="I27" s="91" t="str">
        <f>IFERROR(#REF!/E27,"n/a")</f>
        <v>n/a</v>
      </c>
      <c r="J27" s="91" t="str">
        <f>IFERROR(H27/E27,"n/a")</f>
        <v>n/a</v>
      </c>
      <c r="K27" s="91" t="str">
        <f>IFERROR(H27/#REF!,"n/a")</f>
        <v>n/a</v>
      </c>
      <c r="L27" s="241" t="s">
        <v>273</v>
      </c>
    </row>
    <row r="28" spans="2:13" x14ac:dyDescent="0.3">
      <c r="B28" s="242"/>
      <c r="C28" s="243"/>
      <c r="D28" s="354"/>
      <c r="E28" s="1"/>
      <c r="F28" s="1"/>
      <c r="G28" s="421"/>
      <c r="H28" s="98"/>
      <c r="I28" s="91"/>
      <c r="J28" s="91"/>
      <c r="K28" s="91"/>
      <c r="L28" s="537"/>
    </row>
    <row r="29" spans="2:13" x14ac:dyDescent="0.3">
      <c r="B29" s="242"/>
      <c r="C29" s="245" t="s">
        <v>103</v>
      </c>
      <c r="D29" s="85">
        <f>SUM(D24:D28)</f>
        <v>36288</v>
      </c>
      <c r="E29" s="85">
        <f>SUM(E24:E28)</f>
        <v>0</v>
      </c>
      <c r="F29" s="85">
        <f>SUM(F24:F28)</f>
        <v>7357</v>
      </c>
      <c r="G29" s="447">
        <f>SUM(G24:G28)</f>
        <v>107111</v>
      </c>
      <c r="H29" s="388">
        <f>SUM(H24:H27)</f>
        <v>456902</v>
      </c>
      <c r="I29" s="473"/>
      <c r="J29" s="473"/>
      <c r="K29" s="473"/>
      <c r="L29" s="246"/>
    </row>
    <row r="30" spans="2:13" x14ac:dyDescent="0.3">
      <c r="B30" s="242"/>
      <c r="C30" s="243"/>
      <c r="D30" s="1"/>
      <c r="E30" s="1"/>
      <c r="F30" s="1"/>
      <c r="G30" s="421"/>
      <c r="H30" s="98"/>
      <c r="I30" s="91"/>
      <c r="J30" s="91"/>
      <c r="K30" s="91"/>
      <c r="L30" s="241"/>
    </row>
    <row r="31" spans="2:13" ht="18" customHeight="1" x14ac:dyDescent="0.3">
      <c r="B31" s="247"/>
      <c r="C31" s="248" t="s">
        <v>94</v>
      </c>
      <c r="D31" s="405">
        <f>D21-SUM(D24:D27)</f>
        <v>45627</v>
      </c>
      <c r="E31" s="405">
        <f>E21-SUM(E24:E27)</f>
        <v>0</v>
      </c>
      <c r="F31" s="405">
        <f>F21-SUM(F24:F27)</f>
        <v>81665</v>
      </c>
      <c r="G31" s="448">
        <f>G21-SUM(G24:G27)</f>
        <v>66183.699999999983</v>
      </c>
      <c r="H31" s="462">
        <f>H21-H29</f>
        <v>-369879.78</v>
      </c>
      <c r="I31" s="474" t="str">
        <f>IFERROR(G31/E31,"n/a")</f>
        <v>n/a</v>
      </c>
      <c r="J31" s="474" t="str">
        <f>IFERROR(H31/E31,"n/a")</f>
        <v>n/a</v>
      </c>
      <c r="K31" s="474">
        <f>IFERROR(H31/G31,"n/a")</f>
        <v>-5.5886839206632466</v>
      </c>
      <c r="L31" s="249"/>
    </row>
    <row r="32" spans="2:13" ht="18" customHeight="1" thickBot="1" x14ac:dyDescent="0.35">
      <c r="B32" s="250"/>
      <c r="C32" s="251" t="s">
        <v>99</v>
      </c>
      <c r="D32" s="406">
        <f>+D31</f>
        <v>45627</v>
      </c>
      <c r="E32" s="406">
        <f>+E31</f>
        <v>0</v>
      </c>
      <c r="F32" s="406">
        <f>+F31</f>
        <v>81665</v>
      </c>
      <c r="G32" s="449">
        <f>+G31</f>
        <v>66183.699999999983</v>
      </c>
      <c r="H32" s="463">
        <f>+H31</f>
        <v>-369879.78</v>
      </c>
      <c r="I32" s="475" t="str">
        <f>IFERROR(G32/E32,"n/a")</f>
        <v>n/a</v>
      </c>
      <c r="J32" s="475" t="str">
        <f>IFERROR(H32/E32,"n/a")</f>
        <v>n/a</v>
      </c>
      <c r="K32" s="475">
        <f>IFERROR(H32/G32,"n/a")</f>
        <v>-5.5886839206632466</v>
      </c>
      <c r="L32" s="252"/>
    </row>
    <row r="33" spans="2:12" x14ac:dyDescent="0.3">
      <c r="B33" s="230"/>
      <c r="C33" s="231"/>
      <c r="D33" s="353"/>
      <c r="E33" s="400"/>
      <c r="F33" s="400"/>
      <c r="G33" s="400"/>
      <c r="H33" s="400"/>
      <c r="I33" s="471"/>
      <c r="J33" s="471"/>
      <c r="K33" s="471"/>
      <c r="L33" s="232"/>
    </row>
    <row r="34" spans="2:12" x14ac:dyDescent="0.3">
      <c r="B34" s="230"/>
      <c r="C34" s="231"/>
      <c r="D34" s="353"/>
      <c r="E34" s="400"/>
      <c r="F34" s="400"/>
      <c r="G34" s="400"/>
      <c r="H34" s="400"/>
      <c r="I34" s="476"/>
      <c r="J34" s="476"/>
      <c r="K34" s="476"/>
      <c r="L34" s="233"/>
    </row>
    <row r="35" spans="2:12" ht="28.95" customHeight="1" thickBot="1" x14ac:dyDescent="0.35">
      <c r="B35" s="234"/>
      <c r="C35" s="286" t="s">
        <v>9</v>
      </c>
      <c r="D35" s="72">
        <f>D6+D21-D13-D29</f>
        <v>94119</v>
      </c>
      <c r="E35" s="72">
        <f>E6+E21-E13-E29</f>
        <v>-1150</v>
      </c>
      <c r="F35" s="72">
        <f>F6+F21-F13-F29</f>
        <v>123271.67999999999</v>
      </c>
      <c r="G35" s="423">
        <f>G6+G21-G13-G29</f>
        <v>90393.219999999972</v>
      </c>
      <c r="H35" s="391">
        <f>H6+H21-H13-H29</f>
        <v>-369880.23000000004</v>
      </c>
      <c r="I35" s="477">
        <f>IFERROR(G35/E35,"n/a")</f>
        <v>-78.602799999999974</v>
      </c>
      <c r="J35" s="477">
        <f>IFERROR(H35/E35,"n/a")</f>
        <v>321.63498260869568</v>
      </c>
      <c r="K35" s="475">
        <f>IFERROR(H35/G35,"n/a")</f>
        <v>-4.0919023572785678</v>
      </c>
      <c r="L35" s="287"/>
    </row>
    <row r="37" spans="2:12" x14ac:dyDescent="0.3">
      <c r="C37" s="100"/>
      <c r="I37" s="521"/>
    </row>
    <row r="39" spans="2:12" x14ac:dyDescent="0.3">
      <c r="D39" s="39"/>
    </row>
    <row r="40" spans="2:12" x14ac:dyDescent="0.3">
      <c r="D40" s="39"/>
    </row>
    <row r="47" spans="2:12" x14ac:dyDescent="0.3">
      <c r="D47" s="39"/>
    </row>
    <row r="48" spans="2:12" x14ac:dyDescent="0.3">
      <c r="D48" s="39"/>
    </row>
  </sheetData>
  <phoneticPr fontId="13" type="noConversion"/>
  <pageMargins left="0.75000000000000011" right="0.75000000000000011" top="1" bottom="1" header="0.5" footer="0.5"/>
  <pageSetup paperSize="9" scale="6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K47"/>
  <sheetViews>
    <sheetView topLeftCell="A14" workbookViewId="0">
      <selection activeCell="I18" sqref="I18"/>
    </sheetView>
  </sheetViews>
  <sheetFormatPr defaultColWidth="11.19921875" defaultRowHeight="15.6" x14ac:dyDescent="0.3"/>
  <cols>
    <col min="1" max="1" width="5.19921875" customWidth="1"/>
    <col min="2" max="2" width="10.69921875" style="64" customWidth="1"/>
    <col min="3" max="3" width="48.5" customWidth="1"/>
    <col min="4" max="7" width="10.69921875" customWidth="1"/>
    <col min="8" max="8" width="14.19921875" customWidth="1"/>
    <col min="9" max="10" width="10.69921875" customWidth="1"/>
    <col min="11" max="11" width="53" customWidth="1"/>
  </cols>
  <sheetData>
    <row r="1" spans="2:11" ht="16.2" thickBot="1" x14ac:dyDescent="0.35"/>
    <row r="2" spans="2:11" ht="17.399999999999999" x14ac:dyDescent="0.3">
      <c r="B2" s="351" t="s">
        <v>149</v>
      </c>
      <c r="C2" s="349"/>
      <c r="D2" s="349"/>
      <c r="E2" s="349"/>
      <c r="F2" s="349"/>
      <c r="G2" s="349"/>
      <c r="H2" s="349"/>
      <c r="I2" s="349"/>
      <c r="J2" s="349"/>
      <c r="K2" s="350"/>
    </row>
    <row r="3" spans="2:11" ht="96" customHeight="1" thickBot="1" x14ac:dyDescent="0.35">
      <c r="B3" s="344"/>
      <c r="C3" s="345"/>
      <c r="D3" s="346" t="s">
        <v>168</v>
      </c>
      <c r="E3" s="346" t="s">
        <v>169</v>
      </c>
      <c r="F3" s="346" t="s">
        <v>157</v>
      </c>
      <c r="G3" s="346" t="s">
        <v>243</v>
      </c>
      <c r="H3" s="346" t="s">
        <v>158</v>
      </c>
      <c r="I3" s="347" t="s">
        <v>134</v>
      </c>
      <c r="J3" s="346">
        <v>45717</v>
      </c>
      <c r="K3" s="348" t="s">
        <v>11</v>
      </c>
    </row>
    <row r="4" spans="2:11" x14ac:dyDescent="0.3">
      <c r="B4" s="65"/>
      <c r="C4" s="62"/>
      <c r="D4" s="34"/>
      <c r="E4" s="34"/>
      <c r="F4" s="34"/>
      <c r="G4" s="34"/>
      <c r="H4" s="34"/>
      <c r="I4" s="34"/>
      <c r="J4" s="34"/>
      <c r="K4" s="484"/>
    </row>
    <row r="5" spans="2:11" ht="40.200000000000003" x14ac:dyDescent="0.3">
      <c r="B5" s="75">
        <v>311</v>
      </c>
      <c r="C5" s="76" t="s">
        <v>204</v>
      </c>
      <c r="D5" s="1">
        <v>0</v>
      </c>
      <c r="E5" s="1"/>
      <c r="F5" s="1">
        <v>50000</v>
      </c>
      <c r="G5" s="1"/>
      <c r="H5" s="1">
        <f>'101 Admin'!G40</f>
        <v>0</v>
      </c>
      <c r="I5" s="1"/>
      <c r="J5" s="1">
        <f>D5-E5+F5+G5-H5+I5</f>
        <v>50000</v>
      </c>
      <c r="K5" s="485" t="s">
        <v>209</v>
      </c>
    </row>
    <row r="6" spans="2:11" x14ac:dyDescent="0.3">
      <c r="B6" s="75">
        <v>310</v>
      </c>
      <c r="C6" s="76" t="s">
        <v>205</v>
      </c>
      <c r="D6" s="1">
        <v>148509</v>
      </c>
      <c r="E6" s="1">
        <v>0</v>
      </c>
      <c r="F6" s="102"/>
      <c r="G6" s="1">
        <v>0</v>
      </c>
      <c r="H6" s="102"/>
      <c r="I6" s="98"/>
      <c r="J6" s="1">
        <f>D6+'Budget Summary'!G15+E17+E27-F17-G17</f>
        <v>85791.520000000019</v>
      </c>
      <c r="K6" s="485" t="s">
        <v>208</v>
      </c>
    </row>
    <row r="7" spans="2:11" x14ac:dyDescent="0.3">
      <c r="B7" s="75">
        <v>320</v>
      </c>
      <c r="C7" s="76" t="s">
        <v>12</v>
      </c>
      <c r="D7" s="1">
        <v>40555</v>
      </c>
      <c r="E7" s="1">
        <f>'106 Estate Managment'!D24+'106 Estate Managment'!F24</f>
        <v>2140</v>
      </c>
      <c r="F7" s="1">
        <v>0</v>
      </c>
      <c r="G7" s="1">
        <v>25180</v>
      </c>
      <c r="H7" s="1">
        <f>'106 Estate Managment'!G35</f>
        <v>15898</v>
      </c>
      <c r="I7" s="98"/>
      <c r="J7" s="1">
        <f>D7-E7+F7+G7-H7+I7</f>
        <v>47697</v>
      </c>
      <c r="K7" s="485" t="s">
        <v>192</v>
      </c>
    </row>
    <row r="8" spans="2:11" x14ac:dyDescent="0.3">
      <c r="B8" s="75">
        <v>323</v>
      </c>
      <c r="C8" s="76" t="s">
        <v>133</v>
      </c>
      <c r="D8" s="1">
        <v>136939</v>
      </c>
      <c r="E8" s="1">
        <v>0</v>
      </c>
      <c r="F8" s="1">
        <v>0</v>
      </c>
      <c r="G8" s="1">
        <v>0</v>
      </c>
      <c r="H8" s="1">
        <f>'105 Community'!G26</f>
        <v>34734</v>
      </c>
      <c r="I8" s="1">
        <v>0</v>
      </c>
      <c r="J8" s="1">
        <f>D8-E8+F8+G8-H8+I8</f>
        <v>102205</v>
      </c>
      <c r="K8" s="485" t="s">
        <v>193</v>
      </c>
    </row>
    <row r="9" spans="2:11" x14ac:dyDescent="0.3">
      <c r="B9" s="75">
        <v>351</v>
      </c>
      <c r="C9" s="76" t="s">
        <v>13</v>
      </c>
      <c r="D9" s="1">
        <v>1000</v>
      </c>
      <c r="E9" s="1">
        <v>0</v>
      </c>
      <c r="F9" s="1">
        <v>0</v>
      </c>
      <c r="G9" s="1">
        <v>0</v>
      </c>
      <c r="H9" s="1">
        <f>'106 Estate Managment'!G37</f>
        <v>1000</v>
      </c>
      <c r="I9" s="1">
        <v>0</v>
      </c>
      <c r="J9" s="1">
        <f>D9-E9+F9+G9-H9+I9</f>
        <v>0</v>
      </c>
      <c r="K9" s="485" t="s">
        <v>194</v>
      </c>
    </row>
    <row r="10" spans="2:11" x14ac:dyDescent="0.3">
      <c r="B10" s="75">
        <v>353</v>
      </c>
      <c r="C10" s="76" t="s">
        <v>14</v>
      </c>
      <c r="D10" s="1">
        <v>5074</v>
      </c>
      <c r="E10" s="1">
        <f>'101 Admin'!D10</f>
        <v>80</v>
      </c>
      <c r="F10" s="1">
        <v>0</v>
      </c>
      <c r="G10" s="1">
        <v>6</v>
      </c>
      <c r="H10" s="1">
        <f>'101 Admin'!G33</f>
        <v>0</v>
      </c>
      <c r="I10" s="1">
        <v>0</v>
      </c>
      <c r="J10" s="1">
        <f t="shared" ref="J10:J16" si="0">D10-E10+F10+G10-H10+I10</f>
        <v>5000</v>
      </c>
      <c r="K10" s="485" t="s">
        <v>210</v>
      </c>
    </row>
    <row r="11" spans="2:11" ht="27" x14ac:dyDescent="0.3">
      <c r="B11" s="75">
        <v>326</v>
      </c>
      <c r="C11" s="76" t="s">
        <v>15</v>
      </c>
      <c r="D11" s="1">
        <v>47666</v>
      </c>
      <c r="E11" s="1">
        <v>0</v>
      </c>
      <c r="F11" s="1">
        <v>0</v>
      </c>
      <c r="G11" s="1">
        <v>2334</v>
      </c>
      <c r="H11" s="1">
        <f>'106 Estate Managment'!G39</f>
        <v>0</v>
      </c>
      <c r="I11" s="1">
        <v>0</v>
      </c>
      <c r="J11" s="1">
        <f t="shared" si="0"/>
        <v>50000</v>
      </c>
      <c r="K11" s="485" t="s">
        <v>211</v>
      </c>
    </row>
    <row r="12" spans="2:11" ht="27" x14ac:dyDescent="0.3">
      <c r="B12" s="75">
        <v>329</v>
      </c>
      <c r="C12" s="76" t="s">
        <v>16</v>
      </c>
      <c r="D12" s="1">
        <v>7727</v>
      </c>
      <c r="E12" s="1">
        <v>0</v>
      </c>
      <c r="F12" s="1">
        <v>0</v>
      </c>
      <c r="G12" s="1">
        <v>0</v>
      </c>
      <c r="H12" s="1">
        <f>'106 Estate Managment'!G41</f>
        <v>7727</v>
      </c>
      <c r="I12" s="1">
        <v>0</v>
      </c>
      <c r="J12" s="1">
        <f t="shared" si="0"/>
        <v>0</v>
      </c>
      <c r="K12" s="485" t="s">
        <v>212</v>
      </c>
    </row>
    <row r="13" spans="2:11" ht="27" x14ac:dyDescent="0.3">
      <c r="B13" s="75">
        <v>359</v>
      </c>
      <c r="C13" s="76" t="s">
        <v>138</v>
      </c>
      <c r="D13" s="1">
        <v>3000</v>
      </c>
      <c r="E13" s="1">
        <f>'107 Planning and Highways'!D6+'107 Planning and Highways'!F6</f>
        <v>2660</v>
      </c>
      <c r="F13" s="1">
        <v>0</v>
      </c>
      <c r="G13" s="1">
        <v>5000</v>
      </c>
      <c r="H13" s="1">
        <f>'106 Estate Managment'!G43</f>
        <v>340</v>
      </c>
      <c r="I13" s="98">
        <v>0</v>
      </c>
      <c r="J13" s="1">
        <f t="shared" si="0"/>
        <v>5000</v>
      </c>
      <c r="K13" s="485" t="s">
        <v>213</v>
      </c>
    </row>
    <row r="14" spans="2:11" ht="40.200000000000003" customHeight="1" x14ac:dyDescent="0.3">
      <c r="B14" s="75">
        <v>354</v>
      </c>
      <c r="C14" s="76" t="s">
        <v>17</v>
      </c>
      <c r="D14" s="1">
        <v>22650</v>
      </c>
      <c r="E14" s="1">
        <f>'101 Admin'!D22</f>
        <v>0</v>
      </c>
      <c r="F14" s="1">
        <v>0</v>
      </c>
      <c r="G14" s="1">
        <v>5050</v>
      </c>
      <c r="H14" s="1">
        <f>'107 Planning and Highways'!G26</f>
        <v>2425</v>
      </c>
      <c r="I14" s="1">
        <v>0</v>
      </c>
      <c r="J14" s="1">
        <f t="shared" si="0"/>
        <v>25275</v>
      </c>
      <c r="K14" s="485" t="s">
        <v>247</v>
      </c>
    </row>
    <row r="15" spans="2:11" x14ac:dyDescent="0.3">
      <c r="B15" s="75">
        <v>356</v>
      </c>
      <c r="C15" s="76" t="s">
        <v>80</v>
      </c>
      <c r="D15" s="1">
        <v>8357</v>
      </c>
      <c r="E15" s="1">
        <v>0</v>
      </c>
      <c r="F15" s="1">
        <v>0</v>
      </c>
      <c r="G15" s="1">
        <v>0</v>
      </c>
      <c r="H15" s="1">
        <f>'105 Community'!G24</f>
        <v>0</v>
      </c>
      <c r="I15" s="1">
        <v>0</v>
      </c>
      <c r="J15" s="1">
        <f t="shared" si="0"/>
        <v>8357</v>
      </c>
      <c r="K15" s="485" t="s">
        <v>214</v>
      </c>
    </row>
    <row r="16" spans="2:11" ht="27" x14ac:dyDescent="0.3">
      <c r="B16" s="75">
        <v>357</v>
      </c>
      <c r="C16" s="76" t="s">
        <v>82</v>
      </c>
      <c r="D16" s="1">
        <v>10750</v>
      </c>
      <c r="E16" s="1"/>
      <c r="F16" s="1">
        <v>0</v>
      </c>
      <c r="G16" s="1">
        <v>4237</v>
      </c>
      <c r="H16" s="1">
        <f>'105 Community'!G28</f>
        <v>4987</v>
      </c>
      <c r="I16" s="1">
        <v>0</v>
      </c>
      <c r="J16" s="1">
        <f t="shared" si="0"/>
        <v>10000</v>
      </c>
      <c r="K16" s="485" t="s">
        <v>191</v>
      </c>
    </row>
    <row r="17" spans="2:11" ht="16.2" thickBot="1" x14ac:dyDescent="0.35">
      <c r="B17" s="66"/>
      <c r="C17" s="63" t="s">
        <v>18</v>
      </c>
      <c r="D17" s="72"/>
      <c r="E17" s="72">
        <f>SUM(E6:E16)</f>
        <v>4880</v>
      </c>
      <c r="F17" s="72">
        <f>SUM(F5:F16)</f>
        <v>50000</v>
      </c>
      <c r="G17" s="72">
        <f>SUM(G6:G16)</f>
        <v>41807</v>
      </c>
      <c r="H17" s="72">
        <f>SUM(H6:H16)</f>
        <v>67111</v>
      </c>
      <c r="I17" s="72">
        <f>SUM(I6:I16)</f>
        <v>0</v>
      </c>
      <c r="J17" s="107"/>
      <c r="K17" s="356"/>
    </row>
    <row r="18" spans="2:11" ht="31.2" customHeight="1" thickBot="1" x14ac:dyDescent="0.35">
      <c r="B18" s="66"/>
      <c r="C18" s="63" t="s">
        <v>19</v>
      </c>
      <c r="D18" s="72">
        <f>SUM(D6:D16)</f>
        <v>432227</v>
      </c>
      <c r="E18" s="72"/>
      <c r="F18" s="107"/>
      <c r="G18" s="107"/>
      <c r="H18" s="107"/>
      <c r="I18" s="107"/>
      <c r="J18" s="72">
        <f>SUM(J6:J17)</f>
        <v>339325.52</v>
      </c>
      <c r="K18" s="356"/>
    </row>
    <row r="19" spans="2:11" ht="28.2" customHeight="1" thickBot="1" x14ac:dyDescent="0.35">
      <c r="B19"/>
      <c r="D19" s="115"/>
      <c r="E19" s="115"/>
      <c r="F19" s="358"/>
      <c r="G19" s="358"/>
      <c r="H19" s="358"/>
      <c r="I19" s="358"/>
      <c r="J19" s="358"/>
      <c r="K19" s="358"/>
    </row>
    <row r="20" spans="2:11" ht="66.599999999999994" customHeight="1" thickBot="1" x14ac:dyDescent="0.35">
      <c r="B20" s="253" t="s">
        <v>20</v>
      </c>
      <c r="C20" s="254"/>
      <c r="D20" s="255">
        <v>45383</v>
      </c>
      <c r="E20" s="255" t="s">
        <v>164</v>
      </c>
      <c r="F20" s="255" t="s">
        <v>157</v>
      </c>
      <c r="G20" s="255"/>
      <c r="H20" s="255" t="s">
        <v>166</v>
      </c>
      <c r="I20" s="256" t="s">
        <v>10</v>
      </c>
      <c r="J20" s="255">
        <v>45747</v>
      </c>
      <c r="K20" s="359"/>
    </row>
    <row r="21" spans="2:11" ht="19.2" customHeight="1" x14ac:dyDescent="0.3">
      <c r="B21" s="295">
        <v>325</v>
      </c>
      <c r="C21" s="296"/>
      <c r="D21" s="134"/>
      <c r="E21" s="134"/>
      <c r="F21" s="134"/>
      <c r="G21" s="134"/>
      <c r="H21" s="134"/>
      <c r="I21" s="134"/>
      <c r="J21" s="134"/>
      <c r="K21" s="360"/>
    </row>
    <row r="22" spans="2:11" ht="46.95" customHeight="1" x14ac:dyDescent="0.3">
      <c r="B22" s="258">
        <v>334</v>
      </c>
      <c r="C22" s="257" t="s">
        <v>21</v>
      </c>
      <c r="D22" s="1">
        <v>16889</v>
      </c>
      <c r="E22" s="1">
        <f>'101 Admin'!D23</f>
        <v>0</v>
      </c>
      <c r="F22" s="1">
        <v>0</v>
      </c>
      <c r="G22" s="1">
        <v>0</v>
      </c>
      <c r="H22" s="1">
        <f>IF('106 Estate Managment'!G$45&gt;D22-E22,D22-E22,'106 Estate Managment'!G$45)</f>
        <v>16889</v>
      </c>
      <c r="I22" s="1">
        <v>0</v>
      </c>
      <c r="J22" s="1">
        <f>D22-E22+F22-H22+I22</f>
        <v>0</v>
      </c>
      <c r="K22" s="522"/>
    </row>
    <row r="23" spans="2:11" x14ac:dyDescent="0.3">
      <c r="B23" s="258">
        <v>335</v>
      </c>
      <c r="C23" s="257" t="s">
        <v>102</v>
      </c>
      <c r="D23" s="1">
        <v>17393</v>
      </c>
      <c r="E23" s="1"/>
      <c r="F23" s="1">
        <v>0</v>
      </c>
      <c r="G23" s="1">
        <v>0</v>
      </c>
      <c r="H23" s="1">
        <f>IF(('106 Estate Managment'!G$45-H22)&gt;D23-E23,D23-E23,'106 Estate Managment'!G$45)</f>
        <v>17393</v>
      </c>
      <c r="I23" s="1">
        <v>0</v>
      </c>
      <c r="J23" s="1">
        <f>D23-E23+F23-H23+I23</f>
        <v>0</v>
      </c>
      <c r="K23" s="485"/>
    </row>
    <row r="24" spans="2:11" x14ac:dyDescent="0.3">
      <c r="B24" s="258">
        <v>336</v>
      </c>
      <c r="C24" s="257" t="s">
        <v>132</v>
      </c>
      <c r="D24" s="1">
        <v>81915</v>
      </c>
      <c r="E24" s="1"/>
      <c r="F24" s="1">
        <v>0</v>
      </c>
      <c r="G24" s="1">
        <v>0</v>
      </c>
      <c r="H24" s="1">
        <f>IF(('106 Estate Managment'!G$45-H23-H22)&gt;D24-E24,D24-E24,'106 Estate Managment'!G$45-H22-H23)</f>
        <v>5718</v>
      </c>
      <c r="I24" s="1">
        <v>0</v>
      </c>
      <c r="J24" s="1">
        <f t="shared" ref="J24:J25" si="1">D24-E24+F24-H24+I24</f>
        <v>76197</v>
      </c>
      <c r="K24" s="485"/>
    </row>
    <row r="25" spans="2:11" x14ac:dyDescent="0.3">
      <c r="B25" s="258"/>
      <c r="C25" s="257" t="s">
        <v>165</v>
      </c>
      <c r="D25" s="1">
        <v>0</v>
      </c>
      <c r="E25" s="1"/>
      <c r="F25" s="1">
        <f>'100 Income'!G30</f>
        <v>173294.69999999998</v>
      </c>
      <c r="G25" s="1"/>
      <c r="H25" s="1"/>
      <c r="I25" s="1"/>
      <c r="J25" s="1">
        <f t="shared" si="1"/>
        <v>173294.69999999998</v>
      </c>
      <c r="K25" s="355"/>
    </row>
    <row r="26" spans="2:11" ht="16.2" thickBot="1" x14ac:dyDescent="0.35">
      <c r="B26" s="258"/>
      <c r="C26" s="257"/>
      <c r="D26" s="1"/>
      <c r="E26" s="1"/>
      <c r="F26" s="1"/>
      <c r="G26" s="1"/>
      <c r="H26" s="1"/>
      <c r="I26" s="1"/>
      <c r="J26" s="1"/>
      <c r="K26" s="361"/>
    </row>
    <row r="27" spans="2:11" ht="25.2" customHeight="1" x14ac:dyDescent="0.3">
      <c r="B27" s="259"/>
      <c r="C27" s="260" t="s">
        <v>18</v>
      </c>
      <c r="D27" s="261"/>
      <c r="E27" s="261">
        <f>SUM(E21:E26)</f>
        <v>0</v>
      </c>
      <c r="F27" s="261">
        <f>SUM(F21:F26)</f>
        <v>173294.69999999998</v>
      </c>
      <c r="G27" s="261">
        <f>SUM(G21:G26)</f>
        <v>0</v>
      </c>
      <c r="H27" s="261">
        <f>SUM(H21:H26)</f>
        <v>40000</v>
      </c>
      <c r="I27" s="261">
        <f>SUM(I21:I26)</f>
        <v>0</v>
      </c>
      <c r="J27" s="261"/>
      <c r="K27" s="362"/>
    </row>
    <row r="28" spans="2:11" ht="28.2" customHeight="1" x14ac:dyDescent="0.3">
      <c r="B28" s="262"/>
      <c r="C28" s="263" t="s">
        <v>22</v>
      </c>
      <c r="D28" s="97">
        <f>SUM(D21:D26)</f>
        <v>116197</v>
      </c>
      <c r="E28" s="97"/>
      <c r="F28" s="97"/>
      <c r="G28" s="97"/>
      <c r="H28" s="97"/>
      <c r="I28" s="97"/>
      <c r="J28" s="97">
        <f>SUM(J21:J26)</f>
        <v>249491.69999999998</v>
      </c>
      <c r="K28" s="363"/>
    </row>
    <row r="29" spans="2:11" x14ac:dyDescent="0.3">
      <c r="B29" s="264"/>
      <c r="C29" s="115"/>
      <c r="D29" s="115"/>
      <c r="E29" s="115"/>
      <c r="F29" s="115"/>
      <c r="G29" s="357"/>
      <c r="H29" s="357"/>
      <c r="I29" s="357"/>
      <c r="J29" s="357"/>
      <c r="K29" s="364"/>
    </row>
    <row r="30" spans="2:11" ht="15" customHeight="1" thickBot="1" x14ac:dyDescent="0.35">
      <c r="B30" s="264"/>
      <c r="C30" s="115"/>
      <c r="D30" s="115"/>
      <c r="E30" s="115"/>
      <c r="F30" s="115"/>
      <c r="G30" s="357"/>
      <c r="H30" s="357"/>
      <c r="I30" s="357"/>
      <c r="J30" s="357"/>
      <c r="K30" s="357"/>
    </row>
    <row r="31" spans="2:11" ht="31.2" customHeight="1" thickBot="1" x14ac:dyDescent="0.35">
      <c r="B31" s="265"/>
      <c r="C31" s="266" t="s">
        <v>23</v>
      </c>
      <c r="D31" s="267">
        <f>D18+D28</f>
        <v>548424</v>
      </c>
      <c r="E31" s="267"/>
      <c r="F31" s="267"/>
      <c r="G31" s="267"/>
      <c r="H31" s="267"/>
      <c r="I31" s="267"/>
      <c r="J31" s="267">
        <f>J18+J28</f>
        <v>588817.22</v>
      </c>
      <c r="K31" s="365"/>
    </row>
    <row r="32" spans="2:11" ht="15" customHeight="1" x14ac:dyDescent="0.3"/>
    <row r="33" spans="3:10" ht="15" customHeight="1" x14ac:dyDescent="0.3">
      <c r="C33" s="579" t="s">
        <v>206</v>
      </c>
      <c r="D33" s="579"/>
      <c r="E33" s="579"/>
      <c r="F33" s="579"/>
      <c r="G33" s="579"/>
      <c r="H33" s="579"/>
      <c r="I33" s="579"/>
      <c r="J33" s="579"/>
    </row>
    <row r="34" spans="3:10" ht="15" customHeight="1" x14ac:dyDescent="0.3">
      <c r="C34" s="108">
        <f>'Budget Summary'!H13</f>
        <v>201652.95</v>
      </c>
      <c r="D34" s="578" t="s">
        <v>24</v>
      </c>
      <c r="E34" s="578"/>
      <c r="F34" s="578"/>
      <c r="G34" s="578"/>
      <c r="H34" s="578"/>
      <c r="I34" s="578"/>
      <c r="J34" s="578"/>
    </row>
    <row r="35" spans="3:10" ht="15" customHeight="1" x14ac:dyDescent="0.3">
      <c r="C35" s="108">
        <f>C34*0.25</f>
        <v>50413.237500000003</v>
      </c>
      <c r="D35" s="578" t="s">
        <v>207</v>
      </c>
      <c r="E35" s="578"/>
      <c r="F35" s="578"/>
      <c r="G35" s="578"/>
      <c r="H35" s="578"/>
      <c r="I35" s="578"/>
      <c r="J35" s="578"/>
    </row>
    <row r="36" spans="3:10" ht="15" customHeight="1" x14ac:dyDescent="0.3">
      <c r="C36" s="109">
        <v>50000</v>
      </c>
      <c r="D36" s="578" t="s">
        <v>262</v>
      </c>
      <c r="E36" s="578"/>
      <c r="F36" s="578"/>
      <c r="G36" s="578"/>
      <c r="H36" s="578"/>
      <c r="I36" s="578"/>
      <c r="J36" s="578"/>
    </row>
    <row r="37" spans="3:10" ht="15" customHeight="1" x14ac:dyDescent="0.3">
      <c r="C37" s="110"/>
      <c r="D37" s="578"/>
      <c r="E37" s="578"/>
      <c r="F37" s="578"/>
      <c r="G37" s="578"/>
      <c r="H37" s="578"/>
      <c r="I37" s="578"/>
      <c r="J37" s="578"/>
    </row>
    <row r="38" spans="3:10" ht="15" customHeight="1" x14ac:dyDescent="0.3"/>
    <row r="39" spans="3:10" ht="15" customHeight="1" x14ac:dyDescent="0.3"/>
    <row r="40" spans="3:10" ht="15" customHeight="1" x14ac:dyDescent="0.3">
      <c r="D40" s="289"/>
      <c r="E40" s="289"/>
      <c r="F40" s="290"/>
    </row>
    <row r="41" spans="3:10" ht="15" customHeight="1" x14ac:dyDescent="0.3">
      <c r="D41" s="290"/>
      <c r="E41" s="290"/>
      <c r="F41" s="290"/>
    </row>
    <row r="42" spans="3:10" ht="15" customHeight="1" x14ac:dyDescent="0.3">
      <c r="D42" s="290"/>
      <c r="E42" s="290"/>
      <c r="F42" s="290"/>
    </row>
    <row r="43" spans="3:10" ht="15" customHeight="1" x14ac:dyDescent="0.3">
      <c r="D43" s="290"/>
      <c r="E43" s="290"/>
      <c r="F43" s="290"/>
    </row>
    <row r="44" spans="3:10" ht="15" customHeight="1" x14ac:dyDescent="0.3">
      <c r="D44" s="290"/>
      <c r="E44" s="290"/>
      <c r="F44" s="290"/>
    </row>
    <row r="45" spans="3:10" ht="15" customHeight="1" x14ac:dyDescent="0.3">
      <c r="D45" s="290"/>
      <c r="E45" s="290"/>
      <c r="F45" s="290"/>
    </row>
    <row r="46" spans="3:10" ht="15" customHeight="1" x14ac:dyDescent="0.3"/>
    <row r="47" spans="3:10" ht="15" customHeight="1" x14ac:dyDescent="0.3"/>
  </sheetData>
  <mergeCells count="5">
    <mergeCell ref="D37:J37"/>
    <mergeCell ref="C33:J33"/>
    <mergeCell ref="D34:J34"/>
    <mergeCell ref="D35:J35"/>
    <mergeCell ref="D36:J36"/>
  </mergeCells>
  <phoneticPr fontId="13" type="noConversion"/>
  <pageMargins left="0.75000000000000011" right="0.75000000000000011" top="1" bottom="1" header="0.5" footer="0.5"/>
  <pageSetup paperSize="9" scale="63" orientation="landscape" r:id="rId1"/>
  <ignoredErrors>
    <ignoredError sqref="D28"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L41"/>
  <sheetViews>
    <sheetView topLeftCell="A19" workbookViewId="0">
      <selection activeCell="H17" sqref="H17"/>
    </sheetView>
  </sheetViews>
  <sheetFormatPr defaultColWidth="11.19921875" defaultRowHeight="15.6" x14ac:dyDescent="0.3"/>
  <cols>
    <col min="1" max="1" width="5.19921875" customWidth="1"/>
    <col min="2" max="2" width="10.69921875" customWidth="1"/>
    <col min="3" max="3" width="35" customWidth="1"/>
    <col min="4" max="11" width="13.5" customWidth="1"/>
    <col min="12" max="12" width="61.8984375" customWidth="1"/>
  </cols>
  <sheetData>
    <row r="1" spans="2:12" ht="16.2" thickBot="1" x14ac:dyDescent="0.35"/>
    <row r="2" spans="2:12" ht="21" x14ac:dyDescent="0.3">
      <c r="B2" s="317" t="s">
        <v>148</v>
      </c>
      <c r="C2" s="318"/>
      <c r="D2" s="318"/>
      <c r="E2" s="319"/>
      <c r="F2" s="319"/>
      <c r="G2" s="320"/>
      <c r="H2" s="320"/>
      <c r="I2" s="321"/>
      <c r="J2" s="321"/>
      <c r="K2" s="321"/>
      <c r="L2" s="322"/>
    </row>
    <row r="3" spans="2:12" ht="21" x14ac:dyDescent="0.3">
      <c r="B3" s="323" t="s">
        <v>25</v>
      </c>
      <c r="C3" s="324"/>
      <c r="D3" s="325"/>
      <c r="E3" s="326"/>
      <c r="F3" s="326"/>
      <c r="G3" s="327"/>
      <c r="H3" s="327"/>
      <c r="I3" s="328"/>
      <c r="J3" s="328"/>
      <c r="K3" s="328"/>
      <c r="L3" s="329"/>
    </row>
    <row r="4" spans="2:12" ht="63" thickBot="1" x14ac:dyDescent="0.35">
      <c r="B4" s="330" t="s">
        <v>26</v>
      </c>
      <c r="C4" s="331" t="s">
        <v>27</v>
      </c>
      <c r="D4" s="314" t="s">
        <v>150</v>
      </c>
      <c r="E4" s="314" t="s">
        <v>126</v>
      </c>
      <c r="F4" s="314" t="s">
        <v>151</v>
      </c>
      <c r="G4" s="332" t="s">
        <v>152</v>
      </c>
      <c r="H4" s="332" t="s">
        <v>153</v>
      </c>
      <c r="I4" s="315" t="s">
        <v>154</v>
      </c>
      <c r="J4" s="314" t="s">
        <v>155</v>
      </c>
      <c r="K4" s="314" t="s">
        <v>156</v>
      </c>
      <c r="L4" s="333" t="s">
        <v>159</v>
      </c>
    </row>
    <row r="5" spans="2:12" x14ac:dyDescent="0.3">
      <c r="B5" s="15">
        <v>1010</v>
      </c>
      <c r="C5" s="49" t="s">
        <v>28</v>
      </c>
      <c r="D5" s="124">
        <v>535</v>
      </c>
      <c r="E5" s="73">
        <v>0</v>
      </c>
      <c r="F5" s="73">
        <v>0</v>
      </c>
      <c r="G5" s="418">
        <v>0</v>
      </c>
      <c r="H5" s="112">
        <v>0</v>
      </c>
      <c r="I5" s="119" t="str">
        <f t="shared" ref="I5:I36" si="0">IFERROR(G5/E5,"n/a")</f>
        <v>n/a</v>
      </c>
      <c r="J5" s="119" t="str">
        <f t="shared" ref="J5:J36" si="1">IFERROR(H5/E5,"n/a")</f>
        <v>n/a</v>
      </c>
      <c r="K5" s="119" t="str">
        <f>IFERROR(H5/G5,"n/a")</f>
        <v>n/a</v>
      </c>
      <c r="L5" s="487"/>
    </row>
    <row r="6" spans="2:12" x14ac:dyDescent="0.3">
      <c r="B6" s="14"/>
      <c r="C6" s="46"/>
      <c r="D6" s="78"/>
      <c r="E6" s="116"/>
      <c r="F6" s="116"/>
      <c r="G6" s="117"/>
      <c r="H6" s="387"/>
      <c r="I6" s="120"/>
      <c r="J6" s="120"/>
      <c r="K6" s="120"/>
      <c r="L6" s="488"/>
    </row>
    <row r="7" spans="2:12" s="170" customFormat="1" x14ac:dyDescent="0.3">
      <c r="B7" s="417">
        <v>1107</v>
      </c>
      <c r="C7" s="49" t="s">
        <v>96</v>
      </c>
      <c r="D7" s="124">
        <v>0</v>
      </c>
      <c r="E7" s="73">
        <v>1.96</v>
      </c>
      <c r="F7" s="73">
        <v>300</v>
      </c>
      <c r="G7" s="478">
        <v>0</v>
      </c>
      <c r="H7" s="73">
        <v>0</v>
      </c>
      <c r="I7" s="119">
        <f t="shared" si="0"/>
        <v>0</v>
      </c>
      <c r="J7" s="119">
        <f t="shared" si="1"/>
        <v>0</v>
      </c>
      <c r="K7" s="119" t="str">
        <f>IFERROR(H7/G7,"n/a")</f>
        <v>n/a</v>
      </c>
      <c r="L7" s="489"/>
    </row>
    <row r="8" spans="2:12" x14ac:dyDescent="0.3">
      <c r="B8" s="9"/>
      <c r="C8" s="46"/>
      <c r="D8" s="78"/>
      <c r="E8" s="77"/>
      <c r="F8" s="77"/>
      <c r="G8" s="114"/>
      <c r="H8" s="113"/>
      <c r="I8" s="118"/>
      <c r="J8" s="118"/>
      <c r="K8" s="118"/>
      <c r="L8" s="490"/>
    </row>
    <row r="9" spans="2:12" x14ac:dyDescent="0.3">
      <c r="B9" s="15">
        <v>1020</v>
      </c>
      <c r="C9" s="49" t="s">
        <v>29</v>
      </c>
      <c r="D9" s="124">
        <v>243</v>
      </c>
      <c r="E9" s="73">
        <v>243</v>
      </c>
      <c r="F9" s="73">
        <v>0</v>
      </c>
      <c r="G9" s="418">
        <v>243</v>
      </c>
      <c r="H9" s="112">
        <v>243</v>
      </c>
      <c r="I9" s="119">
        <f t="shared" si="0"/>
        <v>1</v>
      </c>
      <c r="J9" s="119">
        <f t="shared" si="1"/>
        <v>1</v>
      </c>
      <c r="K9" s="119">
        <f>IFERROR(H9/G9,"n/a")</f>
        <v>1</v>
      </c>
      <c r="L9" s="491" t="s">
        <v>215</v>
      </c>
    </row>
    <row r="10" spans="2:12" x14ac:dyDescent="0.3">
      <c r="B10" s="9"/>
      <c r="C10" s="46"/>
      <c r="D10" s="78"/>
      <c r="E10" s="77"/>
      <c r="F10" s="77"/>
      <c r="G10" s="114"/>
      <c r="H10" s="113"/>
      <c r="I10" s="118"/>
      <c r="J10" s="118"/>
      <c r="K10" s="118"/>
      <c r="L10" s="490"/>
    </row>
    <row r="11" spans="2:12" ht="27" x14ac:dyDescent="0.3">
      <c r="B11" s="15">
        <v>1076</v>
      </c>
      <c r="C11" s="49" t="s">
        <v>30</v>
      </c>
      <c r="D11" s="124">
        <v>149319</v>
      </c>
      <c r="E11" s="73">
        <v>149319</v>
      </c>
      <c r="F11" s="73">
        <v>74659.5</v>
      </c>
      <c r="G11" s="418">
        <v>149319</v>
      </c>
      <c r="H11" s="160">
        <v>161729</v>
      </c>
      <c r="I11" s="119">
        <f t="shared" si="0"/>
        <v>1</v>
      </c>
      <c r="J11" s="119">
        <f t="shared" si="1"/>
        <v>1.0831106557102579</v>
      </c>
      <c r="K11" s="119">
        <f>IFERROR(H11/G11,"n/a")</f>
        <v>1.0831106557102579</v>
      </c>
      <c r="L11" s="489" t="s">
        <v>216</v>
      </c>
    </row>
    <row r="12" spans="2:12" x14ac:dyDescent="0.3">
      <c r="B12" s="9"/>
      <c r="C12" s="46"/>
      <c r="D12" s="78">
        <v>0</v>
      </c>
      <c r="E12" s="77"/>
      <c r="F12" s="77"/>
      <c r="G12" s="114"/>
      <c r="H12" s="113"/>
      <c r="I12" s="118"/>
      <c r="J12" s="118"/>
      <c r="K12" s="118"/>
      <c r="L12" s="492"/>
    </row>
    <row r="13" spans="2:12" ht="40.200000000000003" x14ac:dyDescent="0.3">
      <c r="B13" s="15">
        <v>1090</v>
      </c>
      <c r="C13" s="49" t="s">
        <v>31</v>
      </c>
      <c r="D13" s="124">
        <v>26210</v>
      </c>
      <c r="E13" s="73">
        <v>18000</v>
      </c>
      <c r="F13" s="73">
        <v>12811.18</v>
      </c>
      <c r="G13" s="418">
        <v>26500</v>
      </c>
      <c r="H13" s="112">
        <v>24000</v>
      </c>
      <c r="I13" s="119">
        <f t="shared" si="0"/>
        <v>1.4722222222222223</v>
      </c>
      <c r="J13" s="119">
        <f t="shared" si="1"/>
        <v>1.3333333333333333</v>
      </c>
      <c r="K13" s="119">
        <f>IFERROR(H13/G13,"n/a")</f>
        <v>0.90566037735849059</v>
      </c>
      <c r="L13" s="489" t="s">
        <v>217</v>
      </c>
    </row>
    <row r="14" spans="2:12" x14ac:dyDescent="0.3">
      <c r="B14" s="9"/>
      <c r="C14" s="46"/>
      <c r="D14" s="78"/>
      <c r="E14" s="77"/>
      <c r="F14" s="77"/>
      <c r="G14" s="114"/>
      <c r="H14" s="113"/>
      <c r="I14" s="118"/>
      <c r="J14" s="118"/>
      <c r="K14" s="118"/>
      <c r="L14" s="492"/>
    </row>
    <row r="15" spans="2:12" x14ac:dyDescent="0.3">
      <c r="B15" s="15">
        <v>1100</v>
      </c>
      <c r="C15" s="49" t="s">
        <v>32</v>
      </c>
      <c r="D15" s="124">
        <v>5855</v>
      </c>
      <c r="E15" s="73">
        <v>5400</v>
      </c>
      <c r="F15" s="73">
        <v>0</v>
      </c>
      <c r="G15" s="418">
        <v>0</v>
      </c>
      <c r="H15" s="112">
        <v>0</v>
      </c>
      <c r="I15" s="119">
        <f t="shared" si="0"/>
        <v>0</v>
      </c>
      <c r="J15" s="119">
        <f t="shared" si="1"/>
        <v>0</v>
      </c>
      <c r="K15" s="119" t="str">
        <f>IFERROR(H15/G15,"n/a")</f>
        <v>n/a</v>
      </c>
      <c r="L15" s="493"/>
    </row>
    <row r="16" spans="2:12" x14ac:dyDescent="0.3">
      <c r="B16" s="9"/>
      <c r="C16" s="46"/>
      <c r="D16" s="16"/>
      <c r="E16" s="77"/>
      <c r="F16" s="77"/>
      <c r="G16" s="114"/>
      <c r="H16" s="113"/>
      <c r="I16" s="118"/>
      <c r="J16" s="118"/>
      <c r="K16" s="118"/>
      <c r="L16" s="492"/>
    </row>
    <row r="17" spans="2:12" x14ac:dyDescent="0.3">
      <c r="B17" s="14">
        <v>1200</v>
      </c>
      <c r="C17" s="47" t="s">
        <v>33</v>
      </c>
      <c r="D17" s="17">
        <v>7967</v>
      </c>
      <c r="E17" s="77">
        <v>4218</v>
      </c>
      <c r="F17" s="77">
        <v>1183</v>
      </c>
      <c r="G17" s="117">
        <v>4225</v>
      </c>
      <c r="H17" s="387">
        <v>4429</v>
      </c>
      <c r="I17" s="118">
        <f t="shared" si="0"/>
        <v>1.0016595542911333</v>
      </c>
      <c r="J17" s="118">
        <f t="shared" si="1"/>
        <v>1.0500237079184447</v>
      </c>
      <c r="K17" s="118">
        <f>IFERROR(H17/G17,"n/a")</f>
        <v>1.048284023668639</v>
      </c>
      <c r="L17" s="486" t="s">
        <v>175</v>
      </c>
    </row>
    <row r="18" spans="2:12" x14ac:dyDescent="0.3">
      <c r="B18" s="14">
        <v>1201</v>
      </c>
      <c r="C18" s="47" t="s">
        <v>34</v>
      </c>
      <c r="D18" s="17">
        <v>3847</v>
      </c>
      <c r="E18" s="77">
        <v>2559.9</v>
      </c>
      <c r="F18" s="77">
        <v>1814</v>
      </c>
      <c r="G18" s="117">
        <v>4782</v>
      </c>
      <c r="H18" s="387">
        <v>4035</v>
      </c>
      <c r="I18" s="118">
        <f t="shared" si="0"/>
        <v>1.8680417203797022</v>
      </c>
      <c r="J18" s="118">
        <f t="shared" si="1"/>
        <v>1.5762334466190084</v>
      </c>
      <c r="K18" s="118">
        <f>IFERROR(H18/G18,"n/a")</f>
        <v>0.84378920953575909</v>
      </c>
      <c r="L18" s="486" t="s">
        <v>176</v>
      </c>
    </row>
    <row r="19" spans="2:12" x14ac:dyDescent="0.3">
      <c r="B19" s="15">
        <v>1202</v>
      </c>
      <c r="C19" s="50" t="s">
        <v>35</v>
      </c>
      <c r="D19" s="30">
        <v>1729</v>
      </c>
      <c r="E19" s="77">
        <v>1716</v>
      </c>
      <c r="F19" s="77">
        <v>742</v>
      </c>
      <c r="G19" s="418">
        <v>1736.5</v>
      </c>
      <c r="H19" s="112">
        <v>2172</v>
      </c>
      <c r="I19" s="121">
        <f t="shared" si="0"/>
        <v>1.0119463869463869</v>
      </c>
      <c r="J19" s="121">
        <f t="shared" si="1"/>
        <v>1.2657342657342658</v>
      </c>
      <c r="K19" s="118">
        <f>IFERROR(H19/G19,"n/a")</f>
        <v>1.2507918226317305</v>
      </c>
      <c r="L19" s="494" t="s">
        <v>179</v>
      </c>
    </row>
    <row r="20" spans="2:12" x14ac:dyDescent="0.3">
      <c r="B20" s="68"/>
      <c r="C20" s="84" t="s">
        <v>36</v>
      </c>
      <c r="D20" s="85">
        <f>SUM(D17:D19)</f>
        <v>13543</v>
      </c>
      <c r="E20" s="85">
        <f>SUM(E17:E19)</f>
        <v>8493.9</v>
      </c>
      <c r="F20" s="85">
        <f>SUM(F17:F19)</f>
        <v>3739</v>
      </c>
      <c r="G20" s="419">
        <f>SUM(G17:G19)</f>
        <v>10743.5</v>
      </c>
      <c r="H20" s="388">
        <f>SUM(H17:H19)</f>
        <v>10636</v>
      </c>
      <c r="I20" s="122">
        <f t="shared" si="0"/>
        <v>1.2648488915574707</v>
      </c>
      <c r="J20" s="122">
        <f t="shared" si="1"/>
        <v>1.252192750091242</v>
      </c>
      <c r="K20" s="122">
        <f>IFERROR(H20/G20,"n/a")</f>
        <v>0.98999394983012989</v>
      </c>
      <c r="L20" s="495"/>
    </row>
    <row r="21" spans="2:12" x14ac:dyDescent="0.3">
      <c r="B21" s="14"/>
      <c r="C21" s="47"/>
      <c r="D21" s="17"/>
      <c r="E21" s="77"/>
      <c r="F21" s="77"/>
      <c r="G21" s="114"/>
      <c r="H21" s="113"/>
      <c r="I21" s="118"/>
      <c r="J21" s="118"/>
      <c r="K21" s="118"/>
      <c r="L21" s="492"/>
    </row>
    <row r="22" spans="2:12" ht="27" x14ac:dyDescent="0.3">
      <c r="B22" s="14">
        <v>1300</v>
      </c>
      <c r="C22" s="47" t="s">
        <v>37</v>
      </c>
      <c r="D22" s="17">
        <v>1235</v>
      </c>
      <c r="E22" s="77">
        <v>1837.14</v>
      </c>
      <c r="F22" s="77">
        <v>968</v>
      </c>
      <c r="G22" s="117">
        <v>1188</v>
      </c>
      <c r="H22" s="387">
        <v>1376</v>
      </c>
      <c r="I22" s="120">
        <f t="shared" si="0"/>
        <v>0.64665730428818702</v>
      </c>
      <c r="J22" s="120">
        <f t="shared" si="1"/>
        <v>0.74899027836746246</v>
      </c>
      <c r="K22" s="120">
        <f>IFERROR(H22/G22,"n/a")</f>
        <v>1.1582491582491583</v>
      </c>
      <c r="L22" s="494" t="s">
        <v>180</v>
      </c>
    </row>
    <row r="23" spans="2:12" x14ac:dyDescent="0.3">
      <c r="B23" s="14">
        <v>1301</v>
      </c>
      <c r="C23" s="47" t="s">
        <v>38</v>
      </c>
      <c r="D23" s="17">
        <v>11</v>
      </c>
      <c r="E23" s="77">
        <v>11</v>
      </c>
      <c r="F23" s="77">
        <v>11</v>
      </c>
      <c r="G23" s="117">
        <v>11</v>
      </c>
      <c r="H23" s="387">
        <v>11</v>
      </c>
      <c r="I23" s="118">
        <f t="shared" si="0"/>
        <v>1</v>
      </c>
      <c r="J23" s="118">
        <f t="shared" si="1"/>
        <v>1</v>
      </c>
      <c r="K23" s="118">
        <f>IFERROR(H23/G23,"n/a")</f>
        <v>1</v>
      </c>
      <c r="L23" s="486" t="s">
        <v>177</v>
      </c>
    </row>
    <row r="24" spans="2:12" x14ac:dyDescent="0.3">
      <c r="B24" s="14">
        <v>1305</v>
      </c>
      <c r="C24" s="47" t="s">
        <v>39</v>
      </c>
      <c r="D24" s="17">
        <v>2541</v>
      </c>
      <c r="E24" s="77">
        <v>2310</v>
      </c>
      <c r="F24" s="77">
        <v>2403</v>
      </c>
      <c r="G24" s="117">
        <v>2853</v>
      </c>
      <c r="H24" s="387">
        <v>2996</v>
      </c>
      <c r="I24" s="118">
        <f t="shared" ref="I24" si="2">IFERROR(G24/E24,"n/a")</f>
        <v>1.235064935064935</v>
      </c>
      <c r="J24" s="118">
        <f t="shared" ref="J24" si="3">IFERROR(H24/E24,"n/a")</f>
        <v>1.2969696969696969</v>
      </c>
      <c r="K24" s="118">
        <f>IFERROR(H24/G24,"n/a")</f>
        <v>1.0501226778829302</v>
      </c>
      <c r="L24" s="486" t="s">
        <v>178</v>
      </c>
    </row>
    <row r="25" spans="2:12" x14ac:dyDescent="0.3">
      <c r="B25" s="15">
        <v>1306</v>
      </c>
      <c r="C25" s="50" t="s">
        <v>83</v>
      </c>
      <c r="D25" s="30">
        <v>600</v>
      </c>
      <c r="E25" s="77">
        <v>630</v>
      </c>
      <c r="F25" s="369">
        <v>595</v>
      </c>
      <c r="G25" s="418">
        <v>630</v>
      </c>
      <c r="H25" s="112">
        <v>661.5</v>
      </c>
      <c r="I25" s="119">
        <f t="shared" si="0"/>
        <v>1</v>
      </c>
      <c r="J25" s="119">
        <f t="shared" si="1"/>
        <v>1.05</v>
      </c>
      <c r="K25" s="119">
        <f>IFERROR(H25/G25,"n/a")</f>
        <v>1.05</v>
      </c>
      <c r="L25" s="491" t="s">
        <v>137</v>
      </c>
    </row>
    <row r="26" spans="2:12" x14ac:dyDescent="0.3">
      <c r="B26" s="69"/>
      <c r="C26" s="86" t="s">
        <v>40</v>
      </c>
      <c r="D26" s="35">
        <f>SUM(D22:D25)</f>
        <v>4387</v>
      </c>
      <c r="E26" s="85">
        <f>SUM(E22:E25)</f>
        <v>4788.1400000000003</v>
      </c>
      <c r="F26" s="35">
        <f>SUM(F22:F25)</f>
        <v>3977</v>
      </c>
      <c r="G26" s="418">
        <f>SUM(G22:G25)</f>
        <v>4682</v>
      </c>
      <c r="H26" s="388">
        <f>SUM(H22:H25)</f>
        <v>5044.5</v>
      </c>
      <c r="I26" s="119"/>
      <c r="J26" s="119">
        <f t="shared" si="1"/>
        <v>1.0535406232900457</v>
      </c>
      <c r="K26" s="119">
        <f>IFERROR(H26/G26,"n/a")</f>
        <v>1.0774241777018367</v>
      </c>
      <c r="L26" s="496"/>
    </row>
    <row r="27" spans="2:12" x14ac:dyDescent="0.3">
      <c r="B27" s="36"/>
      <c r="C27" s="45"/>
      <c r="D27" s="1"/>
      <c r="E27" s="77"/>
      <c r="F27" s="77"/>
      <c r="G27" s="114"/>
      <c r="H27" s="113"/>
      <c r="I27" s="118"/>
      <c r="J27" s="118"/>
      <c r="K27" s="118"/>
      <c r="L27" s="492"/>
    </row>
    <row r="28" spans="2:12" ht="21" customHeight="1" x14ac:dyDescent="0.3">
      <c r="B28" s="20"/>
      <c r="C28" s="52" t="s">
        <v>41</v>
      </c>
      <c r="D28" s="4">
        <f>D5+D7+D9+D11+D13+D15+D20+D26</f>
        <v>200092</v>
      </c>
      <c r="E28" s="4">
        <f>+E5+E7+E9+E11+E13+E15+E20+E26</f>
        <v>186246</v>
      </c>
      <c r="F28" s="4">
        <f>+F5+F7+F9+F11+F13+F15+F20+F26</f>
        <v>95486.68</v>
      </c>
      <c r="G28" s="420">
        <f>+G5+G7+G9+G11+G13+G15+G20+G26</f>
        <v>191487.5</v>
      </c>
      <c r="H28" s="389">
        <f>+H5+H7+H9+H11+H13+H15+H20+H26</f>
        <v>201652.5</v>
      </c>
      <c r="I28" s="123">
        <f t="shared" si="0"/>
        <v>1.0281428862901754</v>
      </c>
      <c r="J28" s="123">
        <f t="shared" si="1"/>
        <v>1.0827212396507844</v>
      </c>
      <c r="K28" s="123">
        <f>IFERROR(H28/G28,"n/a")</f>
        <v>1.0530844049872707</v>
      </c>
      <c r="L28" s="450"/>
    </row>
    <row r="29" spans="2:12" x14ac:dyDescent="0.3">
      <c r="B29" s="268"/>
      <c r="C29" s="130"/>
      <c r="D29" s="1"/>
      <c r="E29" s="354"/>
      <c r="F29" s="1"/>
      <c r="G29" s="1"/>
      <c r="H29" s="113"/>
      <c r="I29" s="118"/>
      <c r="J29" s="118"/>
      <c r="K29" s="118"/>
      <c r="L29" s="368"/>
    </row>
    <row r="30" spans="2:12" x14ac:dyDescent="0.3">
      <c r="B30" s="284">
        <v>1106</v>
      </c>
      <c r="C30" s="130" t="s">
        <v>95</v>
      </c>
      <c r="D30" s="1">
        <v>81915</v>
      </c>
      <c r="E30" s="1">
        <v>0</v>
      </c>
      <c r="F30" s="1">
        <v>89022</v>
      </c>
      <c r="G30" s="102">
        <f>CIL!D14</f>
        <v>173294.69999999998</v>
      </c>
      <c r="H30" s="479">
        <f>CIL!D23</f>
        <v>87022.22</v>
      </c>
      <c r="I30" s="118" t="str">
        <f t="shared" ref="I30" si="4">IFERROR(G30/E30,"n/a")</f>
        <v>n/a</v>
      </c>
      <c r="J30" s="118" t="str">
        <f t="shared" ref="J30" si="5">IFERROR(H30/E30,"n/a")</f>
        <v>n/a</v>
      </c>
      <c r="K30" s="118">
        <f>IFERROR(H30/G30,"n/a")</f>
        <v>0.50216319368105322</v>
      </c>
      <c r="L30" s="486" t="s">
        <v>190</v>
      </c>
    </row>
    <row r="31" spans="2:12" x14ac:dyDescent="0.3">
      <c r="B31" s="268"/>
      <c r="C31" s="130"/>
      <c r="D31" s="1"/>
      <c r="E31" s="1"/>
      <c r="F31" s="1"/>
      <c r="G31" s="421"/>
      <c r="H31" s="113"/>
      <c r="I31" s="118"/>
      <c r="J31" s="118"/>
      <c r="K31" s="118"/>
      <c r="L31" s="368"/>
    </row>
    <row r="32" spans="2:12" x14ac:dyDescent="0.3">
      <c r="B32" s="284">
        <v>1107</v>
      </c>
      <c r="C32" s="130" t="s">
        <v>96</v>
      </c>
      <c r="D32" s="1">
        <v>0</v>
      </c>
      <c r="E32" s="1">
        <v>0</v>
      </c>
      <c r="F32" s="1">
        <v>0</v>
      </c>
      <c r="G32" s="421">
        <v>0</v>
      </c>
      <c r="H32" s="113">
        <v>0</v>
      </c>
      <c r="I32" s="118" t="str">
        <f t="shared" ref="I32" si="6">IFERROR(G32/E32,"n/a")</f>
        <v>n/a</v>
      </c>
      <c r="J32" s="118" t="str">
        <f t="shared" ref="J32" si="7">IFERROR(H32/E32,"n/a")</f>
        <v>n/a</v>
      </c>
      <c r="K32" s="118" t="str">
        <f>IFERROR(H32/G32,"n/a")</f>
        <v>n/a</v>
      </c>
      <c r="L32" s="368"/>
    </row>
    <row r="33" spans="2:12" x14ac:dyDescent="0.3">
      <c r="B33" s="268"/>
      <c r="C33" s="130"/>
      <c r="D33" s="1"/>
      <c r="E33" s="1"/>
      <c r="F33" s="1"/>
      <c r="G33" s="421"/>
      <c r="H33" s="113"/>
      <c r="I33" s="118"/>
      <c r="J33" s="118"/>
      <c r="K33" s="118"/>
      <c r="L33" s="368"/>
    </row>
    <row r="34" spans="2:12" ht="25.2" customHeight="1" x14ac:dyDescent="0.3">
      <c r="B34" s="269"/>
      <c r="C34" s="270" t="s">
        <v>92</v>
      </c>
      <c r="D34" s="61">
        <f>SUM(D29:D33)</f>
        <v>81915</v>
      </c>
      <c r="E34" s="271">
        <f>SUM(E29:E33)</f>
        <v>0</v>
      </c>
      <c r="F34" s="271">
        <f>SUM(F29:F33)</f>
        <v>89022</v>
      </c>
      <c r="G34" s="422">
        <f>SUM(G29:G33)</f>
        <v>173294.69999999998</v>
      </c>
      <c r="H34" s="392">
        <f>SUM(H29:H33)</f>
        <v>87022.22</v>
      </c>
      <c r="I34" s="273" t="str">
        <f t="shared" si="0"/>
        <v>n/a</v>
      </c>
      <c r="J34" s="273" t="str">
        <f t="shared" si="1"/>
        <v>n/a</v>
      </c>
      <c r="K34" s="273">
        <f>IFERROR(H34/G34,"n/a")</f>
        <v>0.50216319368105322</v>
      </c>
      <c r="L34" s="451"/>
    </row>
    <row r="35" spans="2:12" x14ac:dyDescent="0.3">
      <c r="B35" s="268"/>
      <c r="C35" s="130"/>
      <c r="D35" s="1"/>
      <c r="E35" s="1"/>
      <c r="F35" s="1"/>
      <c r="G35" s="421"/>
      <c r="H35" s="113"/>
      <c r="I35" s="118"/>
      <c r="J35" s="118"/>
      <c r="K35" s="118"/>
      <c r="L35" s="368"/>
    </row>
    <row r="36" spans="2:12" ht="25.2" customHeight="1" thickBot="1" x14ac:dyDescent="0.35">
      <c r="B36" s="274"/>
      <c r="C36" s="53" t="s">
        <v>42</v>
      </c>
      <c r="D36" s="18">
        <f>+D28+D34</f>
        <v>282007</v>
      </c>
      <c r="E36" s="18">
        <f>+E28+E34</f>
        <v>186246</v>
      </c>
      <c r="F36" s="18">
        <f>+F28+F34</f>
        <v>184508.68</v>
      </c>
      <c r="G36" s="423">
        <f>+G28+G34</f>
        <v>364782.19999999995</v>
      </c>
      <c r="H36" s="393">
        <f>+H28+H34</f>
        <v>288674.71999999997</v>
      </c>
      <c r="I36" s="24">
        <f t="shared" si="0"/>
        <v>1.9586042116340752</v>
      </c>
      <c r="J36" s="24">
        <f t="shared" si="1"/>
        <v>1.5499646703821826</v>
      </c>
      <c r="K36" s="24">
        <f>IFERROR(H36/G36,"n/a")</f>
        <v>0.7913618592135252</v>
      </c>
      <c r="L36" s="452"/>
    </row>
    <row r="40" spans="2:12" ht="16.2" thickBot="1" x14ac:dyDescent="0.35"/>
    <row r="41" spans="2:12" ht="16.2" thickBot="1" x14ac:dyDescent="0.35">
      <c r="G41" s="79" t="s">
        <v>43</v>
      </c>
      <c r="H41" s="80">
        <f>SUM(H5:H35)-H17-H18-H19-H22-H23-H24-H25-H28-H36</f>
        <v>87022.219999999972</v>
      </c>
    </row>
  </sheetData>
  <phoneticPr fontId="13" type="noConversion"/>
  <pageMargins left="0.75000000000000011" right="0.75000000000000011" top="1" bottom="1" header="0.5" footer="0.5"/>
  <pageSetup paperSize="9"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L48"/>
  <sheetViews>
    <sheetView topLeftCell="A16" workbookViewId="0">
      <selection activeCell="H31" sqref="H31"/>
    </sheetView>
  </sheetViews>
  <sheetFormatPr defaultColWidth="11.19921875" defaultRowHeight="15.6" x14ac:dyDescent="0.3"/>
  <cols>
    <col min="1" max="1" width="4.19921875" customWidth="1"/>
    <col min="2" max="2" width="10.69921875" customWidth="1"/>
    <col min="3" max="3" width="35" customWidth="1"/>
    <col min="4" max="9" width="13.5" customWidth="1"/>
    <col min="10" max="11" width="13.5" style="64" customWidth="1"/>
    <col min="12" max="12" width="61.5" customWidth="1"/>
  </cols>
  <sheetData>
    <row r="2" spans="2:12" ht="21" x14ac:dyDescent="0.3">
      <c r="B2" s="540" t="s">
        <v>148</v>
      </c>
      <c r="C2" s="541"/>
      <c r="D2" s="541"/>
      <c r="E2" s="542"/>
      <c r="F2" s="542"/>
      <c r="G2" s="543"/>
      <c r="H2" s="543"/>
      <c r="I2" s="544"/>
      <c r="J2" s="544"/>
      <c r="K2" s="544"/>
      <c r="L2" s="545"/>
    </row>
    <row r="3" spans="2:12" ht="21" x14ac:dyDescent="0.3">
      <c r="B3" s="546" t="s">
        <v>130</v>
      </c>
      <c r="C3" s="324"/>
      <c r="D3" s="324"/>
      <c r="E3" s="326"/>
      <c r="F3" s="326"/>
      <c r="G3" s="327"/>
      <c r="H3" s="327"/>
      <c r="I3" s="328"/>
      <c r="J3" s="328"/>
      <c r="K3" s="328"/>
      <c r="L3" s="547"/>
    </row>
    <row r="4" spans="2:12" ht="63" thickBot="1" x14ac:dyDescent="0.35">
      <c r="B4" s="548" t="s">
        <v>26</v>
      </c>
      <c r="C4" s="331" t="s">
        <v>27</v>
      </c>
      <c r="D4" s="314" t="s">
        <v>150</v>
      </c>
      <c r="E4" s="314" t="s">
        <v>126</v>
      </c>
      <c r="F4" s="314" t="s">
        <v>151</v>
      </c>
      <c r="G4" s="332" t="s">
        <v>152</v>
      </c>
      <c r="H4" s="332" t="s">
        <v>153</v>
      </c>
      <c r="I4" s="315" t="s">
        <v>154</v>
      </c>
      <c r="J4" s="314" t="s">
        <v>155</v>
      </c>
      <c r="K4" s="314" t="s">
        <v>156</v>
      </c>
      <c r="L4" s="549" t="s">
        <v>159</v>
      </c>
    </row>
    <row r="5" spans="2:12" x14ac:dyDescent="0.3">
      <c r="B5" s="550"/>
      <c r="C5" s="54"/>
      <c r="D5" s="27"/>
      <c r="E5" s="28"/>
      <c r="F5" s="28"/>
      <c r="G5" s="28"/>
      <c r="H5" s="29"/>
      <c r="I5" s="29"/>
      <c r="J5" s="29"/>
      <c r="K5" s="29"/>
      <c r="L5" s="551"/>
    </row>
    <row r="6" spans="2:12" ht="53.4" x14ac:dyDescent="0.3">
      <c r="B6" s="552">
        <v>4000</v>
      </c>
      <c r="C6" s="46" t="s">
        <v>44</v>
      </c>
      <c r="D6" s="16">
        <v>75565</v>
      </c>
      <c r="E6" s="1">
        <v>79601</v>
      </c>
      <c r="F6" s="1">
        <v>36083</v>
      </c>
      <c r="G6" s="421">
        <v>75810</v>
      </c>
      <c r="H6" s="98">
        <v>81738</v>
      </c>
      <c r="I6" s="91">
        <f t="shared" ref="I6:I21" si="0">IFERROR(G6/E6,"n/a")</f>
        <v>0.95237497016369144</v>
      </c>
      <c r="J6" s="91">
        <f t="shared" ref="J6:J21" si="1">IFERROR(H6/E6,"n/a")</f>
        <v>1.0268463964020553</v>
      </c>
      <c r="K6" s="91">
        <f t="shared" ref="K6:K21" si="2">IFERROR(H6/G6,"n/a")</f>
        <v>1.0781954887218046</v>
      </c>
      <c r="L6" s="553" t="s">
        <v>246</v>
      </c>
    </row>
    <row r="7" spans="2:12" x14ac:dyDescent="0.3">
      <c r="B7" s="552">
        <v>4004</v>
      </c>
      <c r="C7" s="46" t="s">
        <v>84</v>
      </c>
      <c r="D7" s="16">
        <v>222</v>
      </c>
      <c r="E7" s="1">
        <v>264</v>
      </c>
      <c r="F7" s="1">
        <v>110</v>
      </c>
      <c r="G7" s="421">
        <v>264</v>
      </c>
      <c r="H7" s="98">
        <v>264</v>
      </c>
      <c r="I7" s="91">
        <f t="shared" si="0"/>
        <v>1</v>
      </c>
      <c r="J7" s="91">
        <f t="shared" si="1"/>
        <v>1</v>
      </c>
      <c r="K7" s="91">
        <f t="shared" si="2"/>
        <v>1</v>
      </c>
      <c r="L7" s="553" t="s">
        <v>218</v>
      </c>
    </row>
    <row r="8" spans="2:12" ht="16.2" customHeight="1" x14ac:dyDescent="0.3">
      <c r="B8" s="552">
        <v>4010</v>
      </c>
      <c r="C8" s="46" t="s">
        <v>45</v>
      </c>
      <c r="D8" s="16">
        <v>361</v>
      </c>
      <c r="E8" s="77">
        <v>1000</v>
      </c>
      <c r="F8" s="77">
        <v>847</v>
      </c>
      <c r="G8" s="421">
        <v>2000</v>
      </c>
      <c r="H8" s="98">
        <v>2500</v>
      </c>
      <c r="I8" s="91">
        <f t="shared" si="0"/>
        <v>2</v>
      </c>
      <c r="J8" s="91">
        <f t="shared" si="1"/>
        <v>2.5</v>
      </c>
      <c r="K8" s="91">
        <f t="shared" si="2"/>
        <v>1.25</v>
      </c>
      <c r="L8" s="553" t="s">
        <v>245</v>
      </c>
    </row>
    <row r="9" spans="2:12" x14ac:dyDescent="0.3">
      <c r="B9" s="552">
        <v>4020</v>
      </c>
      <c r="C9" s="46" t="s">
        <v>46</v>
      </c>
      <c r="D9" s="16">
        <v>190</v>
      </c>
      <c r="E9" s="77">
        <v>500</v>
      </c>
      <c r="F9" s="77">
        <v>250</v>
      </c>
      <c r="G9" s="421">
        <v>400</v>
      </c>
      <c r="H9" s="98">
        <v>500</v>
      </c>
      <c r="I9" s="91">
        <f t="shared" si="0"/>
        <v>0.8</v>
      </c>
      <c r="J9" s="91">
        <f t="shared" si="1"/>
        <v>1</v>
      </c>
      <c r="K9" s="91">
        <f t="shared" si="2"/>
        <v>1.25</v>
      </c>
      <c r="L9" s="554" t="s">
        <v>181</v>
      </c>
    </row>
    <row r="10" spans="2:12" s="137" customFormat="1" x14ac:dyDescent="0.3">
      <c r="B10" s="555">
        <v>4030</v>
      </c>
      <c r="C10" s="131" t="s">
        <v>47</v>
      </c>
      <c r="D10" s="132">
        <v>80</v>
      </c>
      <c r="E10" s="77">
        <v>0</v>
      </c>
      <c r="F10" s="77">
        <v>0</v>
      </c>
      <c r="G10" s="421">
        <v>0</v>
      </c>
      <c r="H10" s="98">
        <v>0</v>
      </c>
      <c r="I10" s="135" t="str">
        <f t="shared" si="0"/>
        <v>n/a</v>
      </c>
      <c r="J10" s="135" t="str">
        <f t="shared" si="1"/>
        <v>n/a</v>
      </c>
      <c r="K10" s="135" t="str">
        <f t="shared" si="2"/>
        <v>n/a</v>
      </c>
      <c r="L10" s="556" t="s">
        <v>183</v>
      </c>
    </row>
    <row r="11" spans="2:12" x14ac:dyDescent="0.3">
      <c r="B11" s="552">
        <v>4050</v>
      </c>
      <c r="C11" s="46" t="s">
        <v>48</v>
      </c>
      <c r="D11" s="16">
        <v>2050</v>
      </c>
      <c r="E11" s="77">
        <v>1187</v>
      </c>
      <c r="F11" s="77">
        <v>-20</v>
      </c>
      <c r="G11" s="421">
        <v>1130</v>
      </c>
      <c r="H11" s="98">
        <v>1150</v>
      </c>
      <c r="I11" s="91">
        <f t="shared" si="0"/>
        <v>0.95197978096040436</v>
      </c>
      <c r="J11" s="91">
        <f t="shared" si="1"/>
        <v>0.96882898062342038</v>
      </c>
      <c r="K11" s="91">
        <f t="shared" si="2"/>
        <v>1.0176991150442478</v>
      </c>
      <c r="L11" s="553" t="s">
        <v>219</v>
      </c>
    </row>
    <row r="12" spans="2:12" ht="40.200000000000003" x14ac:dyDescent="0.3">
      <c r="B12" s="552">
        <v>4051</v>
      </c>
      <c r="C12" s="46" t="s">
        <v>49</v>
      </c>
      <c r="D12" s="16">
        <v>5240</v>
      </c>
      <c r="E12" s="77">
        <v>4515</v>
      </c>
      <c r="F12" s="77">
        <v>1760</v>
      </c>
      <c r="G12" s="421">
        <v>4000</v>
      </c>
      <c r="H12" s="98">
        <v>5686</v>
      </c>
      <c r="I12" s="91">
        <f t="shared" si="0"/>
        <v>0.88593576965669985</v>
      </c>
      <c r="J12" s="91">
        <f t="shared" si="1"/>
        <v>1.2593576965669988</v>
      </c>
      <c r="K12" s="91">
        <f t="shared" si="2"/>
        <v>1.4215</v>
      </c>
      <c r="L12" s="553" t="s">
        <v>195</v>
      </c>
    </row>
    <row r="13" spans="2:12" x14ac:dyDescent="0.3">
      <c r="B13" s="552">
        <v>4052</v>
      </c>
      <c r="C13" s="46" t="s">
        <v>50</v>
      </c>
      <c r="D13" s="16">
        <v>1149</v>
      </c>
      <c r="E13" s="77">
        <v>1229</v>
      </c>
      <c r="F13" s="77">
        <v>1398</v>
      </c>
      <c r="G13" s="421">
        <v>1398</v>
      </c>
      <c r="H13" s="98">
        <v>1467.9</v>
      </c>
      <c r="I13" s="91">
        <f t="shared" si="0"/>
        <v>1.1375101708706266</v>
      </c>
      <c r="J13" s="91">
        <f t="shared" si="1"/>
        <v>1.1943856794141579</v>
      </c>
      <c r="K13" s="91">
        <f t="shared" si="2"/>
        <v>1.05</v>
      </c>
      <c r="L13" s="553" t="s">
        <v>197</v>
      </c>
    </row>
    <row r="14" spans="2:12" ht="27" x14ac:dyDescent="0.3">
      <c r="B14" s="552">
        <v>4053</v>
      </c>
      <c r="C14" s="46" t="s">
        <v>51</v>
      </c>
      <c r="D14" s="16">
        <v>1720</v>
      </c>
      <c r="E14" s="77">
        <v>1754</v>
      </c>
      <c r="F14" s="77">
        <v>1698</v>
      </c>
      <c r="G14" s="421">
        <v>1782</v>
      </c>
      <c r="H14" s="98">
        <v>1817</v>
      </c>
      <c r="I14" s="91">
        <f t="shared" si="0"/>
        <v>1.015963511972634</v>
      </c>
      <c r="J14" s="91">
        <f t="shared" si="1"/>
        <v>1.0359179019384264</v>
      </c>
      <c r="K14" s="91">
        <f t="shared" si="2"/>
        <v>1.0196408529741863</v>
      </c>
      <c r="L14" s="553" t="s">
        <v>196</v>
      </c>
    </row>
    <row r="15" spans="2:12" ht="27" x14ac:dyDescent="0.3">
      <c r="B15" s="552">
        <v>4054</v>
      </c>
      <c r="C15" s="46" t="s">
        <v>52</v>
      </c>
      <c r="D15" s="16">
        <v>1144</v>
      </c>
      <c r="E15" s="77">
        <v>1597</v>
      </c>
      <c r="F15" s="77">
        <v>412</v>
      </c>
      <c r="G15" s="421">
        <v>1597</v>
      </c>
      <c r="H15" s="98">
        <v>1736</v>
      </c>
      <c r="I15" s="91">
        <f t="shared" si="0"/>
        <v>1</v>
      </c>
      <c r="J15" s="91">
        <f t="shared" si="1"/>
        <v>1.08703819661866</v>
      </c>
      <c r="K15" s="91">
        <f t="shared" si="2"/>
        <v>1.08703819661866</v>
      </c>
      <c r="L15" s="553" t="s">
        <v>198</v>
      </c>
    </row>
    <row r="16" spans="2:12" ht="27" x14ac:dyDescent="0.3">
      <c r="B16" s="552">
        <v>4055</v>
      </c>
      <c r="C16" s="46" t="s">
        <v>53</v>
      </c>
      <c r="D16" s="16">
        <v>4753</v>
      </c>
      <c r="E16" s="77">
        <v>5050</v>
      </c>
      <c r="F16" s="77">
        <v>2370</v>
      </c>
      <c r="G16" s="421">
        <v>4740</v>
      </c>
      <c r="H16" s="98">
        <v>5070</v>
      </c>
      <c r="I16" s="91">
        <f t="shared" si="0"/>
        <v>0.93861386138613856</v>
      </c>
      <c r="J16" s="91">
        <f t="shared" si="1"/>
        <v>1.003960396039604</v>
      </c>
      <c r="K16" s="91">
        <f t="shared" si="2"/>
        <v>1.0696202531645569</v>
      </c>
      <c r="L16" s="553" t="s">
        <v>220</v>
      </c>
    </row>
    <row r="17" spans="2:12" ht="27" x14ac:dyDescent="0.3">
      <c r="B17" s="552">
        <v>4057</v>
      </c>
      <c r="C17" s="46" t="s">
        <v>54</v>
      </c>
      <c r="D17" s="16">
        <v>171</v>
      </c>
      <c r="E17" s="77">
        <v>252</v>
      </c>
      <c r="F17" s="77">
        <v>90</v>
      </c>
      <c r="G17" s="421">
        <v>180</v>
      </c>
      <c r="H17" s="98">
        <v>252</v>
      </c>
      <c r="I17" s="91">
        <f t="shared" si="0"/>
        <v>0.7142857142857143</v>
      </c>
      <c r="J17" s="91">
        <f t="shared" si="1"/>
        <v>1</v>
      </c>
      <c r="K17" s="91">
        <f t="shared" si="2"/>
        <v>1.4</v>
      </c>
      <c r="L17" s="553" t="s">
        <v>182</v>
      </c>
    </row>
    <row r="18" spans="2:12" x14ac:dyDescent="0.3">
      <c r="B18" s="552">
        <v>4058</v>
      </c>
      <c r="C18" s="46" t="s">
        <v>55</v>
      </c>
      <c r="D18" s="16">
        <v>25</v>
      </c>
      <c r="E18" s="77">
        <v>135</v>
      </c>
      <c r="F18" s="77">
        <v>0</v>
      </c>
      <c r="G18" s="421">
        <v>135</v>
      </c>
      <c r="H18" s="98">
        <v>135</v>
      </c>
      <c r="I18" s="91">
        <f t="shared" si="0"/>
        <v>1</v>
      </c>
      <c r="J18" s="91">
        <f t="shared" si="1"/>
        <v>1</v>
      </c>
      <c r="K18" s="91">
        <f t="shared" si="2"/>
        <v>1</v>
      </c>
      <c r="L18" s="553" t="s">
        <v>114</v>
      </c>
    </row>
    <row r="19" spans="2:12" s="170" customFormat="1" ht="21" customHeight="1" x14ac:dyDescent="0.3">
      <c r="B19" s="555">
        <v>4059</v>
      </c>
      <c r="C19" s="131" t="s">
        <v>81</v>
      </c>
      <c r="D19" s="132">
        <v>490</v>
      </c>
      <c r="E19" s="133">
        <v>0</v>
      </c>
      <c r="F19" s="133">
        <v>0</v>
      </c>
      <c r="G19" s="134">
        <v>0</v>
      </c>
      <c r="H19" s="134">
        <v>0</v>
      </c>
      <c r="I19" s="135" t="str">
        <f t="shared" si="0"/>
        <v>n/a</v>
      </c>
      <c r="J19" s="135" t="str">
        <f t="shared" si="1"/>
        <v>n/a</v>
      </c>
      <c r="K19" s="135" t="str">
        <f t="shared" si="2"/>
        <v>n/a</v>
      </c>
      <c r="L19" s="557"/>
    </row>
    <row r="20" spans="2:12" ht="39" customHeight="1" x14ac:dyDescent="0.3">
      <c r="B20" s="552">
        <v>4060</v>
      </c>
      <c r="C20" s="46" t="s">
        <v>56</v>
      </c>
      <c r="D20" s="16">
        <v>1018</v>
      </c>
      <c r="E20" s="77">
        <v>1153</v>
      </c>
      <c r="F20" s="77">
        <v>191</v>
      </c>
      <c r="G20" s="421">
        <v>1153</v>
      </c>
      <c r="H20" s="98">
        <v>1244</v>
      </c>
      <c r="I20" s="91">
        <f t="shared" si="0"/>
        <v>1</v>
      </c>
      <c r="J20" s="91">
        <f t="shared" si="1"/>
        <v>1.0789245446660884</v>
      </c>
      <c r="K20" s="91">
        <f t="shared" si="2"/>
        <v>1.0789245446660884</v>
      </c>
      <c r="L20" s="553" t="s">
        <v>221</v>
      </c>
    </row>
    <row r="21" spans="2:12" x14ac:dyDescent="0.3">
      <c r="B21" s="552">
        <v>4062</v>
      </c>
      <c r="C21" s="46" t="s">
        <v>129</v>
      </c>
      <c r="D21" s="16">
        <v>3185</v>
      </c>
      <c r="E21" s="77">
        <v>0</v>
      </c>
      <c r="F21" s="77">
        <v>904</v>
      </c>
      <c r="G21" s="421">
        <v>904</v>
      </c>
      <c r="H21" s="98">
        <v>0</v>
      </c>
      <c r="I21" s="91" t="str">
        <f t="shared" si="0"/>
        <v>n/a</v>
      </c>
      <c r="J21" s="91" t="str">
        <f t="shared" si="1"/>
        <v>n/a</v>
      </c>
      <c r="K21" s="91">
        <f t="shared" si="2"/>
        <v>0</v>
      </c>
      <c r="L21" s="557"/>
    </row>
    <row r="22" spans="2:12" x14ac:dyDescent="0.3">
      <c r="B22" s="555"/>
      <c r="C22" s="131"/>
      <c r="D22" s="132"/>
      <c r="E22" s="133"/>
      <c r="F22" s="133"/>
      <c r="G22" s="134"/>
      <c r="H22" s="134"/>
      <c r="I22" s="135"/>
      <c r="J22" s="135"/>
      <c r="K22" s="135"/>
      <c r="L22" s="557"/>
    </row>
    <row r="23" spans="2:12" x14ac:dyDescent="0.3">
      <c r="B23" s="555"/>
      <c r="C23" s="131"/>
      <c r="D23" s="132"/>
      <c r="E23" s="133"/>
      <c r="F23" s="133"/>
      <c r="G23" s="134"/>
      <c r="H23" s="134"/>
      <c r="I23" s="135"/>
      <c r="J23" s="135"/>
      <c r="K23" s="135"/>
      <c r="L23" s="557"/>
    </row>
    <row r="24" spans="2:12" x14ac:dyDescent="0.3">
      <c r="B24" s="552">
        <v>4040</v>
      </c>
      <c r="C24" s="46" t="s">
        <v>257</v>
      </c>
      <c r="D24" s="16">
        <v>0</v>
      </c>
      <c r="E24" s="77">
        <v>0</v>
      </c>
      <c r="F24" s="77">
        <v>0</v>
      </c>
      <c r="G24" s="421">
        <v>0</v>
      </c>
      <c r="H24" s="98">
        <v>15000</v>
      </c>
      <c r="I24" s="91" t="str">
        <f>IFERROR(G24/E24,"n/a")</f>
        <v>n/a</v>
      </c>
      <c r="J24" s="91" t="str">
        <f>IFERROR(H24/E24,"n/a")</f>
        <v>n/a</v>
      </c>
      <c r="K24" s="91" t="str">
        <f>IFERROR(H24/G24,"n/a")</f>
        <v>n/a</v>
      </c>
      <c r="L24" s="553" t="s">
        <v>259</v>
      </c>
    </row>
    <row r="25" spans="2:12" x14ac:dyDescent="0.3">
      <c r="B25" s="552"/>
      <c r="C25" s="46"/>
      <c r="D25" s="16"/>
      <c r="E25" s="77"/>
      <c r="F25" s="77"/>
      <c r="G25" s="114"/>
      <c r="H25" s="113"/>
      <c r="I25" s="91"/>
      <c r="J25" s="91"/>
      <c r="K25" s="91"/>
      <c r="L25" s="559"/>
    </row>
    <row r="26" spans="2:12" ht="24" customHeight="1" x14ac:dyDescent="0.3">
      <c r="B26" s="560"/>
      <c r="C26" s="51" t="s">
        <v>5</v>
      </c>
      <c r="D26" s="4">
        <f>SUM(D6:D25)</f>
        <v>97363</v>
      </c>
      <c r="E26" s="4">
        <f>SUM(E6:E25)</f>
        <v>98237</v>
      </c>
      <c r="F26" s="4">
        <f>SUM(F6:F25)</f>
        <v>46093</v>
      </c>
      <c r="G26" s="425">
        <f>SUM(G6:G25)</f>
        <v>95493</v>
      </c>
      <c r="H26" s="389">
        <f>SUM(H6:H25)</f>
        <v>118559.9</v>
      </c>
      <c r="I26" s="92">
        <f>IFERROR(G26/E26,"n/a")</f>
        <v>0.97206755092276842</v>
      </c>
      <c r="J26" s="92">
        <f>IFERROR(H26/E26,"n/a")</f>
        <v>1.2068762278978389</v>
      </c>
      <c r="K26" s="92">
        <f>IFERROR(H26/G26,"n/a")</f>
        <v>1.2415559255652246</v>
      </c>
      <c r="L26" s="561"/>
    </row>
    <row r="27" spans="2:12" x14ac:dyDescent="0.3">
      <c r="B27" s="552"/>
      <c r="C27" s="46"/>
      <c r="D27" s="16"/>
      <c r="E27" s="77"/>
      <c r="F27" s="77"/>
      <c r="G27" s="114"/>
      <c r="H27" s="113"/>
      <c r="I27" s="77"/>
      <c r="J27" s="91"/>
      <c r="K27" s="91"/>
      <c r="L27" s="562"/>
    </row>
    <row r="28" spans="2:12" ht="27" x14ac:dyDescent="0.3">
      <c r="B28" s="552">
        <v>4400</v>
      </c>
      <c r="C28" s="46" t="s">
        <v>58</v>
      </c>
      <c r="D28" s="16">
        <v>13849</v>
      </c>
      <c r="E28" s="77">
        <v>15082</v>
      </c>
      <c r="F28" s="77">
        <v>0</v>
      </c>
      <c r="G28" s="421">
        <v>15082</v>
      </c>
      <c r="H28" s="98">
        <v>15489</v>
      </c>
      <c r="I28" s="91">
        <f>IFERROR(G28/E28,"n/a")</f>
        <v>1</v>
      </c>
      <c r="J28" s="91">
        <f>IFERROR(H28/E28,"n/a")</f>
        <v>1.0269858109004111</v>
      </c>
      <c r="K28" s="91">
        <f>IFERROR(H28/G28,"n/a")</f>
        <v>1.0269858109004111</v>
      </c>
      <c r="L28" s="553" t="s">
        <v>258</v>
      </c>
    </row>
    <row r="29" spans="2:12" ht="27" x14ac:dyDescent="0.3">
      <c r="B29" s="563">
        <v>4448</v>
      </c>
      <c r="C29" s="46" t="s">
        <v>59</v>
      </c>
      <c r="D29" s="16">
        <v>3731</v>
      </c>
      <c r="E29" s="77">
        <v>7000</v>
      </c>
      <c r="F29" s="77">
        <v>0</v>
      </c>
      <c r="G29" s="421">
        <v>7000</v>
      </c>
      <c r="H29" s="98">
        <v>3000</v>
      </c>
      <c r="I29" s="91">
        <f>IFERROR(G29/E29,"n/a")</f>
        <v>1</v>
      </c>
      <c r="J29" s="91">
        <f>IFERROR(H29/E29,"n/a")</f>
        <v>0.42857142857142855</v>
      </c>
      <c r="K29" s="91">
        <f>IFERROR(H29/G29,"n/a")</f>
        <v>0.42857142857142855</v>
      </c>
      <c r="L29" s="553" t="s">
        <v>224</v>
      </c>
    </row>
    <row r="30" spans="2:12" x14ac:dyDescent="0.3">
      <c r="B30" s="552"/>
      <c r="C30" s="46"/>
      <c r="D30" s="16"/>
      <c r="E30" s="77"/>
      <c r="F30" s="77"/>
      <c r="G30" s="114"/>
      <c r="H30" s="113"/>
      <c r="I30" s="91"/>
      <c r="J30" s="91"/>
      <c r="K30" s="91"/>
      <c r="L30" s="557"/>
    </row>
    <row r="31" spans="2:12" ht="22.2" customHeight="1" x14ac:dyDescent="0.3">
      <c r="B31" s="564"/>
      <c r="C31" s="60" t="s">
        <v>6</v>
      </c>
      <c r="D31" s="61">
        <f>SUM(D28:D30)</f>
        <v>17580</v>
      </c>
      <c r="E31" s="61">
        <f>SUM(E28:E30)</f>
        <v>22082</v>
      </c>
      <c r="F31" s="61">
        <f>SUM(F28:F30)</f>
        <v>0</v>
      </c>
      <c r="G31" s="426">
        <f>SUM(G28:G30)</f>
        <v>22082</v>
      </c>
      <c r="H31" s="125">
        <f>SUM(H28:H30)</f>
        <v>18489</v>
      </c>
      <c r="I31" s="93">
        <f>IFERROR(G31/E31,"n/a")</f>
        <v>1</v>
      </c>
      <c r="J31" s="93">
        <f>IFERROR(H31/E31,"n/a")</f>
        <v>0.8372882891042478</v>
      </c>
      <c r="K31" s="93">
        <f>IFERROR(H31/G31,"n/a")</f>
        <v>0.8372882891042478</v>
      </c>
      <c r="L31" s="565"/>
    </row>
    <row r="32" spans="2:12" x14ac:dyDescent="0.3">
      <c r="B32" s="566"/>
      <c r="C32" s="276"/>
      <c r="D32" s="16"/>
      <c r="E32" s="77"/>
      <c r="F32" s="77"/>
      <c r="G32" s="421"/>
      <c r="H32" s="113"/>
      <c r="I32" s="91"/>
      <c r="J32" s="91"/>
      <c r="K32" s="91"/>
      <c r="L32" s="562"/>
    </row>
    <row r="33" spans="2:12" ht="27" x14ac:dyDescent="0.3">
      <c r="B33" s="566">
        <v>4030</v>
      </c>
      <c r="C33" s="46" t="s">
        <v>85</v>
      </c>
      <c r="D33" s="16"/>
      <c r="E33" s="77">
        <v>0</v>
      </c>
      <c r="F33" s="77">
        <v>0</v>
      </c>
      <c r="G33" s="421">
        <v>0</v>
      </c>
      <c r="H33" s="98">
        <v>0</v>
      </c>
      <c r="I33" s="91" t="str">
        <f>IFERROR(G33/E33,"n/a")</f>
        <v>n/a</v>
      </c>
      <c r="J33" s="91" t="str">
        <f>IFERROR(H33/E33,"n/a")</f>
        <v>n/a</v>
      </c>
      <c r="K33" s="91" t="str">
        <f>IFERROR(H33/G33,"n/a")</f>
        <v>n/a</v>
      </c>
      <c r="L33" s="553" t="s">
        <v>225</v>
      </c>
    </row>
    <row r="34" spans="2:12" x14ac:dyDescent="0.3">
      <c r="B34" s="566"/>
      <c r="C34" s="46"/>
      <c r="D34" s="16"/>
      <c r="E34" s="77"/>
      <c r="F34" s="77"/>
      <c r="G34" s="421">
        <v>0</v>
      </c>
      <c r="H34" s="98">
        <v>0</v>
      </c>
      <c r="I34" s="91"/>
      <c r="J34" s="91"/>
      <c r="K34" s="91"/>
      <c r="L34" s="562"/>
    </row>
    <row r="35" spans="2:12" x14ac:dyDescent="0.3">
      <c r="B35" s="566"/>
      <c r="C35" s="46"/>
      <c r="D35" s="16"/>
      <c r="E35" s="77"/>
      <c r="F35" s="77"/>
      <c r="G35" s="421"/>
      <c r="H35" s="98">
        <v>0</v>
      </c>
      <c r="I35" s="91"/>
      <c r="J35" s="91"/>
      <c r="K35" s="91"/>
      <c r="L35" s="562"/>
    </row>
    <row r="36" spans="2:12" x14ac:dyDescent="0.3">
      <c r="B36" s="566"/>
      <c r="C36" s="46"/>
      <c r="D36" s="16"/>
      <c r="E36" s="77"/>
      <c r="F36" s="77"/>
      <c r="G36" s="421"/>
      <c r="H36" s="98"/>
      <c r="I36" s="91"/>
      <c r="J36" s="91"/>
      <c r="K36" s="91"/>
      <c r="L36" s="562"/>
    </row>
    <row r="37" spans="2:12" x14ac:dyDescent="0.3">
      <c r="B37" s="566"/>
      <c r="C37" s="46"/>
      <c r="D37" s="16"/>
      <c r="E37" s="77"/>
      <c r="F37" s="77"/>
      <c r="G37" s="421"/>
      <c r="H37" s="98"/>
      <c r="I37" s="91"/>
      <c r="J37" s="91"/>
      <c r="K37" s="91"/>
      <c r="L37" s="562"/>
    </row>
    <row r="38" spans="2:12" x14ac:dyDescent="0.3">
      <c r="B38" s="555">
        <v>4062</v>
      </c>
      <c r="C38" s="131" t="s">
        <v>116</v>
      </c>
      <c r="D38" s="132">
        <v>3477</v>
      </c>
      <c r="E38" s="133">
        <v>0</v>
      </c>
      <c r="F38" s="133">
        <v>0</v>
      </c>
      <c r="G38" s="134">
        <v>0</v>
      </c>
      <c r="H38" s="134">
        <v>0</v>
      </c>
      <c r="I38" s="135" t="str">
        <f>IFERROR(G38/E38,"n/a")</f>
        <v>n/a</v>
      </c>
      <c r="J38" s="135" t="str">
        <f>IFERROR(H38/E38,"n/a")</f>
        <v>n/a</v>
      </c>
      <c r="K38" s="135" t="str">
        <f>IFERROR(H38/G38,"n/a")</f>
        <v>n/a</v>
      </c>
      <c r="L38" s="567" t="s">
        <v>136</v>
      </c>
    </row>
    <row r="39" spans="2:12" x14ac:dyDescent="0.3">
      <c r="B39" s="566"/>
      <c r="C39" s="46"/>
      <c r="D39" s="16"/>
      <c r="E39" s="77"/>
      <c r="F39" s="77"/>
      <c r="G39" s="421"/>
      <c r="H39" s="113"/>
      <c r="I39" s="91"/>
      <c r="J39" s="91"/>
      <c r="K39" s="91"/>
      <c r="L39" s="562"/>
    </row>
    <row r="40" spans="2:12" s="170" customFormat="1" x14ac:dyDescent="0.3">
      <c r="B40" s="566">
        <v>319</v>
      </c>
      <c r="C40" s="46" t="s">
        <v>167</v>
      </c>
      <c r="D40" s="16">
        <v>0</v>
      </c>
      <c r="E40" s="277">
        <v>0</v>
      </c>
      <c r="F40" s="277">
        <v>0</v>
      </c>
      <c r="G40" s="421">
        <v>0</v>
      </c>
      <c r="H40" s="372">
        <v>0</v>
      </c>
      <c r="I40" s="91" t="str">
        <f>IFERROR(G40/E40,"n/a")</f>
        <v>n/a</v>
      </c>
      <c r="J40" s="91" t="str">
        <f>IFERROR(H40/E40,"n/a")</f>
        <v>n/a</v>
      </c>
      <c r="K40" s="91" t="str">
        <f>IFERROR(H40/G40,"n/a")</f>
        <v>n/a</v>
      </c>
      <c r="L40" s="553" t="s">
        <v>200</v>
      </c>
    </row>
    <row r="41" spans="2:12" s="170" customFormat="1" x14ac:dyDescent="0.3">
      <c r="B41" s="566"/>
      <c r="C41" s="46"/>
      <c r="D41" s="16"/>
      <c r="E41" s="277"/>
      <c r="F41" s="277"/>
      <c r="G41" s="421"/>
      <c r="H41" s="367"/>
      <c r="I41" s="91"/>
      <c r="J41" s="91"/>
      <c r="K41" s="91"/>
      <c r="L41" s="568"/>
    </row>
    <row r="42" spans="2:12" x14ac:dyDescent="0.3">
      <c r="B42" s="577"/>
      <c r="H42" s="569"/>
      <c r="L42" s="558"/>
    </row>
    <row r="43" spans="2:12" x14ac:dyDescent="0.3">
      <c r="B43" s="566"/>
      <c r="C43" s="49"/>
      <c r="D43" s="16"/>
      <c r="E43" s="77"/>
      <c r="F43" s="77"/>
      <c r="G43" s="421"/>
      <c r="H43" s="366"/>
      <c r="I43" s="91"/>
      <c r="J43" s="91"/>
      <c r="K43" s="91"/>
      <c r="L43" s="570"/>
    </row>
    <row r="44" spans="2:12" x14ac:dyDescent="0.3">
      <c r="B44" s="571"/>
      <c r="C44" s="279" t="s">
        <v>87</v>
      </c>
      <c r="D44" s="280">
        <f>SUM(D33:D43)</f>
        <v>3477</v>
      </c>
      <c r="E44" s="272">
        <f>SUM(E33:E43)</f>
        <v>0</v>
      </c>
      <c r="F44" s="272">
        <f>SUM(F33:F43)</f>
        <v>0</v>
      </c>
      <c r="G44" s="422">
        <f>SUM(G33:G43)</f>
        <v>0</v>
      </c>
      <c r="H44" s="392">
        <f>SUM(H33:H43)</f>
        <v>0</v>
      </c>
      <c r="I44" s="281" t="str">
        <f>IFERROR(G44/E44,"n/a")</f>
        <v>n/a</v>
      </c>
      <c r="J44" s="281" t="str">
        <f>IFERROR(H44/E44,"n/a")</f>
        <v>n/a</v>
      </c>
      <c r="K44" s="281" t="str">
        <f>IFERROR(H44/G44,"n/a")</f>
        <v>n/a</v>
      </c>
      <c r="L44" s="572"/>
    </row>
    <row r="45" spans="2:12" x14ac:dyDescent="0.3">
      <c r="B45" s="573"/>
      <c r="C45" s="235"/>
      <c r="D45" s="171"/>
      <c r="E45" s="228"/>
      <c r="F45" s="228"/>
      <c r="G45" s="421"/>
      <c r="H45" s="113"/>
      <c r="I45" s="172"/>
      <c r="J45" s="236"/>
      <c r="K45" s="236"/>
      <c r="L45" s="562"/>
    </row>
    <row r="46" spans="2:12" ht="22.95" customHeight="1" x14ac:dyDescent="0.3">
      <c r="B46" s="574"/>
      <c r="C46" s="575" t="s">
        <v>60</v>
      </c>
      <c r="D46" s="4">
        <f>+D26+D31+D44</f>
        <v>118420</v>
      </c>
      <c r="E46" s="4">
        <f>+E26+E31+E44</f>
        <v>120319</v>
      </c>
      <c r="F46" s="4">
        <f>+F26+F31+F44</f>
        <v>46093</v>
      </c>
      <c r="G46" s="422">
        <f>+G26+G31+G44</f>
        <v>117575</v>
      </c>
      <c r="H46" s="389">
        <f>+H26+H31+H44</f>
        <v>137048.9</v>
      </c>
      <c r="I46" s="92">
        <f>IFERROR(G46/E46,"n/a")</f>
        <v>0.97719395939128484</v>
      </c>
      <c r="J46" s="92">
        <f>IFERROR(H46/E46,"n/a")</f>
        <v>1.1390462021792069</v>
      </c>
      <c r="K46" s="92">
        <f>IFERROR(H46/G46,"n/a")</f>
        <v>1.1656295981288538</v>
      </c>
      <c r="L46" s="576"/>
    </row>
    <row r="47" spans="2:12" x14ac:dyDescent="0.3">
      <c r="H47" s="283"/>
    </row>
    <row r="48" spans="2:12" x14ac:dyDescent="0.3">
      <c r="H48" s="297"/>
    </row>
  </sheetData>
  <phoneticPr fontId="13" type="noConversion"/>
  <pageMargins left="0.75000000000000011" right="0.75000000000000011" top="1" bottom="1" header="0.5" footer="0.5"/>
  <pageSetup paperSize="9" scale="47"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O37"/>
  <sheetViews>
    <sheetView topLeftCell="A6" workbookViewId="0">
      <selection activeCell="G36" sqref="G36"/>
    </sheetView>
  </sheetViews>
  <sheetFormatPr defaultColWidth="11.19921875" defaultRowHeight="15.6" x14ac:dyDescent="0.3"/>
  <cols>
    <col min="1" max="1" width="4.5" customWidth="1"/>
    <col min="2" max="2" width="10.69921875" customWidth="1"/>
    <col min="3" max="3" width="35" customWidth="1"/>
    <col min="4" max="11" width="13.5" customWidth="1"/>
    <col min="12" max="12" width="61.5" customWidth="1"/>
  </cols>
  <sheetData>
    <row r="1" spans="2:12" ht="16.2" thickBot="1" x14ac:dyDescent="0.35"/>
    <row r="2" spans="2:12" ht="21" x14ac:dyDescent="0.3">
      <c r="B2" s="317" t="s">
        <v>148</v>
      </c>
      <c r="C2" s="318"/>
      <c r="D2" s="318"/>
      <c r="E2" s="319"/>
      <c r="F2" s="319"/>
      <c r="G2" s="320"/>
      <c r="H2" s="320"/>
      <c r="I2" s="321"/>
      <c r="J2" s="321"/>
      <c r="K2" s="321"/>
      <c r="L2" s="322"/>
    </row>
    <row r="3" spans="2:12" ht="21" x14ac:dyDescent="0.3">
      <c r="B3" s="323" t="s">
        <v>275</v>
      </c>
      <c r="C3" s="324"/>
      <c r="D3" s="324"/>
      <c r="E3" s="326"/>
      <c r="F3" s="326"/>
      <c r="G3" s="327"/>
      <c r="H3" s="327"/>
      <c r="I3" s="328"/>
      <c r="J3" s="328"/>
      <c r="K3" s="328"/>
      <c r="L3" s="329"/>
    </row>
    <row r="4" spans="2:12" ht="63" thickBot="1" x14ac:dyDescent="0.35">
      <c r="B4" s="330" t="s">
        <v>26</v>
      </c>
      <c r="C4" s="331" t="s">
        <v>27</v>
      </c>
      <c r="D4" s="314" t="s">
        <v>150</v>
      </c>
      <c r="E4" s="314" t="s">
        <v>126</v>
      </c>
      <c r="F4" s="314" t="s">
        <v>151</v>
      </c>
      <c r="G4" s="332" t="s">
        <v>152</v>
      </c>
      <c r="H4" s="332" t="s">
        <v>153</v>
      </c>
      <c r="I4" s="315" t="s">
        <v>154</v>
      </c>
      <c r="J4" s="314" t="s">
        <v>155</v>
      </c>
      <c r="K4" s="314" t="s">
        <v>156</v>
      </c>
      <c r="L4" s="333" t="s">
        <v>159</v>
      </c>
    </row>
    <row r="5" spans="2:12" x14ac:dyDescent="0.3">
      <c r="B5" s="12"/>
      <c r="C5" s="56"/>
      <c r="D5" s="127"/>
      <c r="E5" s="127"/>
      <c r="F5" s="127"/>
      <c r="G5" s="128"/>
      <c r="H5" s="129"/>
      <c r="I5" s="118"/>
      <c r="J5" s="118"/>
      <c r="K5" s="118"/>
      <c r="L5" s="105"/>
    </row>
    <row r="6" spans="2:12" ht="27" x14ac:dyDescent="0.3">
      <c r="B6" s="25">
        <v>4142</v>
      </c>
      <c r="C6" s="59" t="s">
        <v>61</v>
      </c>
      <c r="D6" s="13">
        <v>525</v>
      </c>
      <c r="E6" s="13">
        <v>2600</v>
      </c>
      <c r="F6" s="13">
        <v>0</v>
      </c>
      <c r="G6" s="117">
        <v>500</v>
      </c>
      <c r="H6" s="390">
        <v>1000</v>
      </c>
      <c r="I6" s="120">
        <f>IFERROR(G6/E6,"n/a")</f>
        <v>0.19230769230769232</v>
      </c>
      <c r="J6" s="120">
        <f>IFERROR(H6/E6,"n/a")</f>
        <v>0.38461538461538464</v>
      </c>
      <c r="K6" s="120">
        <f>IFERROR(H6/G6,"n/a")</f>
        <v>2</v>
      </c>
      <c r="L6" s="494" t="s">
        <v>226</v>
      </c>
    </row>
    <row r="7" spans="2:12" x14ac:dyDescent="0.3">
      <c r="B7" s="12"/>
      <c r="C7" s="59"/>
      <c r="D7" s="1"/>
      <c r="E7" s="1"/>
      <c r="F7" s="1"/>
      <c r="G7" s="114"/>
      <c r="H7" s="98"/>
      <c r="I7" s="118"/>
      <c r="J7" s="118"/>
      <c r="K7" s="118"/>
      <c r="L7" s="492"/>
    </row>
    <row r="8" spans="2:12" x14ac:dyDescent="0.3">
      <c r="B8" s="25">
        <v>4143</v>
      </c>
      <c r="C8" s="59" t="s">
        <v>62</v>
      </c>
      <c r="D8" s="13">
        <v>438</v>
      </c>
      <c r="E8" s="13">
        <v>645</v>
      </c>
      <c r="F8" s="13">
        <v>467</v>
      </c>
      <c r="G8" s="117">
        <v>635</v>
      </c>
      <c r="H8" s="390">
        <v>667</v>
      </c>
      <c r="I8" s="120">
        <f>IFERROR(G8/E8,"n/a")</f>
        <v>0.98449612403100772</v>
      </c>
      <c r="J8" s="120">
        <f>IFERROR(H8/E8,"n/a")</f>
        <v>1.0341085271317829</v>
      </c>
      <c r="K8" s="120">
        <f>IFERROR(H8/G8,"n/a")</f>
        <v>1.0503937007874016</v>
      </c>
      <c r="L8" s="494" t="s">
        <v>227</v>
      </c>
    </row>
    <row r="9" spans="2:12" x14ac:dyDescent="0.3">
      <c r="B9" s="25"/>
      <c r="C9" s="59"/>
      <c r="D9" s="13"/>
      <c r="E9" s="13">
        <v>0</v>
      </c>
      <c r="F9" s="13"/>
      <c r="G9" s="117"/>
      <c r="H9" s="390">
        <v>0</v>
      </c>
      <c r="I9" s="120"/>
      <c r="J9" s="120"/>
      <c r="K9" s="120"/>
      <c r="L9" s="486"/>
    </row>
    <row r="10" spans="2:12" x14ac:dyDescent="0.3">
      <c r="B10" s="25">
        <v>4144</v>
      </c>
      <c r="C10" s="59" t="s">
        <v>63</v>
      </c>
      <c r="D10" s="13">
        <v>1793</v>
      </c>
      <c r="E10" s="13">
        <v>1625</v>
      </c>
      <c r="F10" s="13">
        <v>62</v>
      </c>
      <c r="G10" s="117">
        <v>1369</v>
      </c>
      <c r="H10" s="390">
        <v>2040</v>
      </c>
      <c r="I10" s="120">
        <f>IFERROR(G10/E10,"n/a")</f>
        <v>0.84246153846153848</v>
      </c>
      <c r="J10" s="120">
        <f>IFERROR(H10/E10,"n/a")</f>
        <v>1.2553846153846153</v>
      </c>
      <c r="K10" s="120">
        <f>IFERROR(H10/G10,"n/a")</f>
        <v>1.4901387874360847</v>
      </c>
      <c r="L10" s="494" t="s">
        <v>250</v>
      </c>
    </row>
    <row r="11" spans="2:12" x14ac:dyDescent="0.3">
      <c r="B11" s="25"/>
      <c r="C11" s="59"/>
      <c r="D11" s="13"/>
      <c r="E11" s="13"/>
      <c r="F11" s="13"/>
      <c r="G11" s="117"/>
      <c r="H11" s="390"/>
      <c r="I11" s="120"/>
      <c r="J11" s="120"/>
      <c r="K11" s="120"/>
      <c r="L11" s="486"/>
    </row>
    <row r="12" spans="2:12" x14ac:dyDescent="0.3">
      <c r="B12" s="25">
        <v>4146</v>
      </c>
      <c r="C12" s="59" t="s">
        <v>64</v>
      </c>
      <c r="D12" s="13">
        <v>0</v>
      </c>
      <c r="E12" s="13">
        <v>250</v>
      </c>
      <c r="F12" s="13">
        <v>0</v>
      </c>
      <c r="G12" s="117">
        <v>0</v>
      </c>
      <c r="H12" s="390">
        <v>0</v>
      </c>
      <c r="I12" s="120">
        <f>IFERROR(G12/E12,"n/a")</f>
        <v>0</v>
      </c>
      <c r="J12" s="120">
        <f>IFERROR(H12/E12,"n/a")</f>
        <v>0</v>
      </c>
      <c r="K12" s="120" t="str">
        <f>IFERROR(H12/G12,"n/a")</f>
        <v>n/a</v>
      </c>
      <c r="L12" s="494"/>
    </row>
    <row r="13" spans="2:12" x14ac:dyDescent="0.3">
      <c r="B13" s="25"/>
      <c r="C13" s="45"/>
      <c r="D13" s="13"/>
      <c r="E13" s="13"/>
      <c r="F13" s="13"/>
      <c r="G13" s="117"/>
      <c r="H13" s="99"/>
      <c r="I13" s="120"/>
      <c r="J13" s="120"/>
      <c r="K13" s="120"/>
      <c r="L13" s="494"/>
    </row>
    <row r="14" spans="2:12" x14ac:dyDescent="0.3">
      <c r="B14" s="238">
        <v>4147</v>
      </c>
      <c r="C14" s="45" t="s">
        <v>142</v>
      </c>
      <c r="D14" s="13">
        <v>0</v>
      </c>
      <c r="E14" s="13">
        <v>150</v>
      </c>
      <c r="F14" s="13">
        <v>0</v>
      </c>
      <c r="G14" s="117">
        <v>150</v>
      </c>
      <c r="H14" s="390">
        <v>150</v>
      </c>
      <c r="I14" s="120">
        <f>IFERROR(G14/E14,"n/a")</f>
        <v>1</v>
      </c>
      <c r="J14" s="120">
        <f>IFERROR(H14/E14,"n/a")</f>
        <v>1</v>
      </c>
      <c r="K14" s="120">
        <f>IFERROR(H14/G14,"n/a")</f>
        <v>1</v>
      </c>
      <c r="L14" s="494" t="s">
        <v>228</v>
      </c>
    </row>
    <row r="15" spans="2:12" x14ac:dyDescent="0.3">
      <c r="B15" s="238"/>
      <c r="C15" s="45"/>
      <c r="D15" s="13"/>
      <c r="E15" s="13"/>
      <c r="F15" s="13"/>
      <c r="G15" s="117"/>
      <c r="H15" s="390"/>
      <c r="I15" s="120"/>
      <c r="J15" s="120"/>
      <c r="K15" s="120"/>
      <c r="L15" s="494"/>
    </row>
    <row r="16" spans="2:12" x14ac:dyDescent="0.3">
      <c r="B16" s="173">
        <v>4807</v>
      </c>
      <c r="C16" s="174" t="s">
        <v>91</v>
      </c>
      <c r="D16" s="400">
        <v>0</v>
      </c>
      <c r="E16" s="401">
        <v>0</v>
      </c>
      <c r="F16" s="401">
        <v>0</v>
      </c>
      <c r="G16" s="427">
        <v>0</v>
      </c>
      <c r="H16" s="390">
        <v>0</v>
      </c>
      <c r="I16" s="402" t="str">
        <f>IFERROR(G16/E16,"n/a")</f>
        <v>n/a</v>
      </c>
      <c r="J16" s="402" t="str">
        <f>IFERROR(H16/E16,"n/a")</f>
        <v>n/a</v>
      </c>
      <c r="K16" s="402" t="str">
        <f>IFERROR(H16/G16,"n/a")</f>
        <v>n/a</v>
      </c>
      <c r="L16" s="492" t="s">
        <v>199</v>
      </c>
    </row>
    <row r="17" spans="2:12" x14ac:dyDescent="0.3">
      <c r="B17" s="14">
        <v>4452</v>
      </c>
      <c r="C17" s="46" t="s">
        <v>57</v>
      </c>
      <c r="D17" s="16">
        <v>280</v>
      </c>
      <c r="E17" s="77">
        <v>276</v>
      </c>
      <c r="F17" s="77">
        <v>0</v>
      </c>
      <c r="G17" s="421">
        <v>280</v>
      </c>
      <c r="H17" s="98">
        <v>294</v>
      </c>
      <c r="I17" s="91">
        <f>IFERROR(G17/E17,"n/a")</f>
        <v>1.0144927536231885</v>
      </c>
      <c r="J17" s="91">
        <f>IFERROR(H17/E17,"n/a")</f>
        <v>1.0652173913043479</v>
      </c>
      <c r="K17" s="91">
        <f>IFERROR(H17/G17,"n/a")</f>
        <v>1.05</v>
      </c>
      <c r="L17" s="494" t="s">
        <v>222</v>
      </c>
    </row>
    <row r="18" spans="2:12" ht="27" x14ac:dyDescent="0.3">
      <c r="B18" s="275">
        <v>4454</v>
      </c>
      <c r="C18" s="288" t="s">
        <v>251</v>
      </c>
      <c r="D18" s="16">
        <v>0</v>
      </c>
      <c r="E18" s="77">
        <v>0</v>
      </c>
      <c r="F18" s="77">
        <v>0</v>
      </c>
      <c r="G18" s="421">
        <v>0</v>
      </c>
      <c r="H18" s="113">
        <v>10000</v>
      </c>
      <c r="I18" s="91" t="str">
        <f>IFERROR(G18/E18,"n/a")</f>
        <v>n/a</v>
      </c>
      <c r="J18" s="91" t="str">
        <f>IFERROR(H18/E18,"n/a")</f>
        <v>n/a</v>
      </c>
      <c r="K18" s="91" t="str">
        <f>IFERROR(H18/G18,"n/a")</f>
        <v>n/a</v>
      </c>
      <c r="L18" s="494" t="s">
        <v>252</v>
      </c>
    </row>
    <row r="19" spans="2:12" ht="40.200000000000003" x14ac:dyDescent="0.3">
      <c r="B19" s="14">
        <v>4453</v>
      </c>
      <c r="C19" s="46" t="s">
        <v>143</v>
      </c>
      <c r="D19" s="16">
        <v>0</v>
      </c>
      <c r="E19" s="77">
        <v>500</v>
      </c>
      <c r="F19" s="77">
        <v>0</v>
      </c>
      <c r="G19" s="421">
        <v>500</v>
      </c>
      <c r="H19" s="98">
        <v>500</v>
      </c>
      <c r="I19" s="91">
        <f>IFERROR(G19/E19,"n/a")</f>
        <v>1</v>
      </c>
      <c r="J19" s="91">
        <f>IFERROR(H19/E19,"n/a")</f>
        <v>1</v>
      </c>
      <c r="K19" s="91">
        <f>IFERROR(H19/G19,"n/a")</f>
        <v>1</v>
      </c>
      <c r="L19" s="494" t="s">
        <v>223</v>
      </c>
    </row>
    <row r="20" spans="2:12" ht="25.2" customHeight="1" thickBot="1" x14ac:dyDescent="0.35">
      <c r="B20" s="26"/>
      <c r="C20" s="53" t="s">
        <v>268</v>
      </c>
      <c r="D20" s="18">
        <f>SUM(D6:D19)</f>
        <v>3036</v>
      </c>
      <c r="E20" s="18">
        <f>SUM(E6:E19)</f>
        <v>6046</v>
      </c>
      <c r="F20" s="18">
        <f>SUM(F6:F19)</f>
        <v>529</v>
      </c>
      <c r="G20" s="428">
        <f>SUM(G6:G19)</f>
        <v>3434</v>
      </c>
      <c r="H20" s="391">
        <f>SUM(H6:H19)</f>
        <v>14651</v>
      </c>
      <c r="I20" s="24">
        <f>IFERROR(G20/E20,"n/a")</f>
        <v>0.56797882897783658</v>
      </c>
      <c r="J20" s="24">
        <f>IFERROR(H20/E20,"n/a")</f>
        <v>2.4232550446576249</v>
      </c>
      <c r="K20" s="24">
        <f>IFERROR(H20/G20,"n/a")</f>
        <v>4.2664531158998251</v>
      </c>
      <c r="L20" s="516"/>
    </row>
    <row r="21" spans="2:12" x14ac:dyDescent="0.3">
      <c r="B21" s="275"/>
      <c r="C21" s="46"/>
      <c r="D21" s="16"/>
      <c r="E21" s="77"/>
      <c r="F21" s="77"/>
      <c r="G21" s="1"/>
      <c r="H21" s="113"/>
      <c r="I21" s="91"/>
      <c r="J21" s="91"/>
      <c r="K21" s="91"/>
      <c r="L21" s="486"/>
    </row>
    <row r="22" spans="2:12" s="137" customFormat="1" x14ac:dyDescent="0.3">
      <c r="B22" s="136">
        <v>4142</v>
      </c>
      <c r="C22" s="131" t="s">
        <v>88</v>
      </c>
      <c r="D22" s="132">
        <v>0</v>
      </c>
      <c r="E22" s="133">
        <v>0</v>
      </c>
      <c r="F22" s="133">
        <v>0</v>
      </c>
      <c r="G22" s="134">
        <v>0</v>
      </c>
      <c r="H22" s="133">
        <v>0</v>
      </c>
      <c r="I22" s="135" t="str">
        <f>IFERROR(G22/E22,"n/a")</f>
        <v>n/a</v>
      </c>
      <c r="J22" s="135" t="str">
        <f>IFERROR(H22/E22,"n/a")</f>
        <v>n/a</v>
      </c>
      <c r="K22" s="135" t="str">
        <f>IFERROR(H22/G22,"n/a")</f>
        <v>n/a</v>
      </c>
      <c r="L22" s="517" t="s">
        <v>145</v>
      </c>
    </row>
    <row r="23" spans="2:12" s="137" customFormat="1" x14ac:dyDescent="0.3">
      <c r="B23" s="136"/>
      <c r="C23" s="131"/>
      <c r="D23" s="132"/>
      <c r="E23" s="133"/>
      <c r="F23" s="133"/>
      <c r="G23" s="134"/>
      <c r="H23" s="133"/>
      <c r="I23" s="135"/>
      <c r="J23" s="135"/>
      <c r="K23" s="135"/>
      <c r="L23" s="517"/>
    </row>
    <row r="24" spans="2:12" s="137" customFormat="1" x14ac:dyDescent="0.3">
      <c r="B24" s="275">
        <v>4807</v>
      </c>
      <c r="C24" s="288" t="s">
        <v>104</v>
      </c>
      <c r="D24" s="16">
        <v>0</v>
      </c>
      <c r="E24" s="77">
        <v>0</v>
      </c>
      <c r="F24" s="77">
        <v>17</v>
      </c>
      <c r="G24" s="421">
        <v>0</v>
      </c>
      <c r="H24" s="113">
        <v>0</v>
      </c>
      <c r="I24" s="91" t="str">
        <f>IFERROR(G24/E24,"n/a")</f>
        <v>n/a</v>
      </c>
      <c r="J24" s="91" t="str">
        <f>IFERROR(H24/E24,"n/a")</f>
        <v>n/a</v>
      </c>
      <c r="K24" s="91" t="str">
        <f>IFERROR(H24/G24,"n/a")</f>
        <v>n/a</v>
      </c>
      <c r="L24" s="494" t="s">
        <v>282</v>
      </c>
    </row>
    <row r="25" spans="2:12" s="137" customFormat="1" x14ac:dyDescent="0.3">
      <c r="B25" s="275"/>
      <c r="C25" s="288"/>
      <c r="D25" s="16"/>
      <c r="E25" s="77"/>
      <c r="F25" s="77"/>
      <c r="G25" s="421"/>
      <c r="H25" s="113"/>
      <c r="I25" s="91"/>
      <c r="J25" s="91"/>
      <c r="K25" s="91"/>
      <c r="L25" s="486"/>
    </row>
    <row r="26" spans="2:12" s="137" customFormat="1" x14ac:dyDescent="0.3">
      <c r="B26" s="275">
        <v>4808</v>
      </c>
      <c r="C26" s="288" t="s">
        <v>141</v>
      </c>
      <c r="D26" s="16">
        <v>5638</v>
      </c>
      <c r="E26" s="77">
        <v>0</v>
      </c>
      <c r="F26" s="77">
        <v>5500</v>
      </c>
      <c r="G26" s="421">
        <v>34734</v>
      </c>
      <c r="H26" s="113">
        <v>319205</v>
      </c>
      <c r="I26" s="91" t="str">
        <f>IFERROR(G26/E26,"n/a")</f>
        <v>n/a</v>
      </c>
      <c r="J26" s="91" t="str">
        <f>IFERROR(H26/E26,"n/a")</f>
        <v>n/a</v>
      </c>
      <c r="K26" s="91">
        <f>IFERROR(H26/G26,"n/a")</f>
        <v>9.189986756492198</v>
      </c>
      <c r="L26" s="494" t="s">
        <v>283</v>
      </c>
    </row>
    <row r="27" spans="2:12" s="137" customFormat="1" x14ac:dyDescent="0.3">
      <c r="B27" s="284"/>
      <c r="C27" s="536"/>
      <c r="D27" s="16"/>
      <c r="E27" s="77"/>
      <c r="F27" s="77"/>
      <c r="G27" s="421"/>
      <c r="H27" s="113"/>
      <c r="I27" s="91"/>
      <c r="J27" s="91"/>
      <c r="K27" s="91"/>
      <c r="L27" s="494"/>
    </row>
    <row r="28" spans="2:12" ht="27" x14ac:dyDescent="0.3">
      <c r="B28" s="275">
        <v>4477</v>
      </c>
      <c r="C28" s="46" t="s">
        <v>101</v>
      </c>
      <c r="D28" s="16">
        <v>7860</v>
      </c>
      <c r="E28" s="77">
        <v>0</v>
      </c>
      <c r="F28" s="77">
        <v>740</v>
      </c>
      <c r="G28" s="421">
        <v>4987</v>
      </c>
      <c r="H28" s="98">
        <v>10000</v>
      </c>
      <c r="I28" s="91" t="str">
        <f>IFERROR(G28/E28,"n/a")</f>
        <v>n/a</v>
      </c>
      <c r="J28" s="91" t="str">
        <f>IFERROR(H28/E28,"n/a")</f>
        <v>n/a</v>
      </c>
      <c r="K28" s="91">
        <f>IFERROR(H28/G28,"n/a")</f>
        <v>2.0052135552436336</v>
      </c>
      <c r="L28" s="494" t="s">
        <v>115</v>
      </c>
    </row>
    <row r="29" spans="2:12" s="137" customFormat="1" x14ac:dyDescent="0.3">
      <c r="B29" s="278"/>
      <c r="C29" s="279" t="s">
        <v>87</v>
      </c>
      <c r="D29" s="280">
        <f>SUM(D22:D28)</f>
        <v>13498</v>
      </c>
      <c r="E29" s="272">
        <f>SUM(E22:E28)</f>
        <v>0</v>
      </c>
      <c r="F29" s="272">
        <f>SUM(F22:F28)</f>
        <v>6257</v>
      </c>
      <c r="G29" s="422">
        <f>SUM(G22:G28)</f>
        <v>39721</v>
      </c>
      <c r="H29" s="392">
        <f>SUM(H22:H28)</f>
        <v>329205</v>
      </c>
      <c r="I29" s="281" t="str">
        <f>IFERROR(G29/E29,"n/a")</f>
        <v>n/a</v>
      </c>
      <c r="J29" s="281" t="str">
        <f>IFERROR(H29/E29,"n/a")</f>
        <v>n/a</v>
      </c>
      <c r="K29" s="281">
        <f>IFERROR(H29/G29,"n/a")</f>
        <v>8.2879333350117061</v>
      </c>
      <c r="L29" s="514"/>
    </row>
    <row r="30" spans="2:12" x14ac:dyDescent="0.3">
      <c r="B30" s="285"/>
      <c r="C30" s="130"/>
      <c r="D30" s="16"/>
      <c r="E30" s="77"/>
      <c r="F30" s="77"/>
      <c r="G30" s="421"/>
      <c r="H30" s="113"/>
      <c r="I30" s="91"/>
      <c r="J30" s="386"/>
      <c r="K30" s="386"/>
      <c r="L30" s="486"/>
    </row>
    <row r="31" spans="2:12" ht="16.2" thickBot="1" x14ac:dyDescent="0.35">
      <c r="B31" s="11"/>
      <c r="C31" s="55" t="s">
        <v>267</v>
      </c>
      <c r="D31" s="18">
        <f>D20+D29</f>
        <v>16534</v>
      </c>
      <c r="E31" s="18">
        <f t="shared" ref="E31:H31" si="0">E20+E29</f>
        <v>6046</v>
      </c>
      <c r="F31" s="18">
        <f t="shared" ref="F31" si="1">F20+F29</f>
        <v>6786</v>
      </c>
      <c r="G31" s="428">
        <f t="shared" si="0"/>
        <v>43155</v>
      </c>
      <c r="H31" s="393">
        <f t="shared" si="0"/>
        <v>343856</v>
      </c>
      <c r="I31" s="126">
        <f>IFERROR(G31/E31,"n/a")</f>
        <v>7.137777042672842</v>
      </c>
      <c r="J31" s="126">
        <f>IFERROR(H31/E31,"n/a")</f>
        <v>56.87330466424082</v>
      </c>
      <c r="K31" s="126">
        <f>IFERROR(H31/G31,"n/a")</f>
        <v>7.9679295562507244</v>
      </c>
      <c r="L31" s="518"/>
    </row>
    <row r="37" spans="9:15" x14ac:dyDescent="0.3">
      <c r="I37" s="13"/>
      <c r="J37" s="13"/>
      <c r="K37" s="117"/>
      <c r="L37" s="99"/>
      <c r="M37" s="120"/>
      <c r="N37" s="120"/>
      <c r="O37" s="120"/>
    </row>
  </sheetData>
  <phoneticPr fontId="13" type="noConversion"/>
  <pageMargins left="0.75000000000000011" right="0.75000000000000011" top="1" bottom="1" header="0.5" footer="0.5"/>
  <pageSetup paperSize="9" scale="5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L53"/>
  <sheetViews>
    <sheetView topLeftCell="C32" workbookViewId="0">
      <selection activeCell="H49" sqref="H49"/>
    </sheetView>
  </sheetViews>
  <sheetFormatPr defaultColWidth="11.19921875" defaultRowHeight="15.6" x14ac:dyDescent="0.3"/>
  <cols>
    <col min="1" max="1" width="4.19921875" customWidth="1"/>
    <col min="2" max="2" width="10.69921875" customWidth="1"/>
    <col min="3" max="3" width="35" customWidth="1"/>
    <col min="4" max="6" width="13.5" customWidth="1"/>
    <col min="7" max="8" width="13.5" style="189" customWidth="1"/>
    <col min="9" max="11" width="13.5" customWidth="1"/>
    <col min="12" max="12" width="61.5" style="191" customWidth="1"/>
  </cols>
  <sheetData>
    <row r="1" spans="2:12" ht="16.2" thickBot="1" x14ac:dyDescent="0.35"/>
    <row r="2" spans="2:12" ht="21" x14ac:dyDescent="0.3">
      <c r="B2" s="317" t="s">
        <v>148</v>
      </c>
      <c r="C2" s="318"/>
      <c r="D2" s="318"/>
      <c r="E2" s="319"/>
      <c r="F2" s="319"/>
      <c r="G2" s="320"/>
      <c r="H2" s="320"/>
      <c r="I2" s="321"/>
      <c r="J2" s="321"/>
      <c r="K2" s="321"/>
      <c r="L2" s="322"/>
    </row>
    <row r="3" spans="2:12" ht="21" x14ac:dyDescent="0.3">
      <c r="B3" s="323" t="s">
        <v>276</v>
      </c>
      <c r="C3" s="324"/>
      <c r="D3" s="324"/>
      <c r="E3" s="326"/>
      <c r="F3" s="326"/>
      <c r="G3" s="327"/>
      <c r="H3" s="327"/>
      <c r="I3" s="328"/>
      <c r="J3" s="328"/>
      <c r="K3" s="328"/>
      <c r="L3" s="329"/>
    </row>
    <row r="4" spans="2:12" ht="63" thickBot="1" x14ac:dyDescent="0.35">
      <c r="B4" s="330" t="s">
        <v>26</v>
      </c>
      <c r="C4" s="331" t="s">
        <v>27</v>
      </c>
      <c r="D4" s="314" t="s">
        <v>150</v>
      </c>
      <c r="E4" s="314" t="s">
        <v>126</v>
      </c>
      <c r="F4" s="314" t="s">
        <v>151</v>
      </c>
      <c r="G4" s="332" t="s">
        <v>152</v>
      </c>
      <c r="H4" s="332" t="s">
        <v>153</v>
      </c>
      <c r="I4" s="315" t="s">
        <v>154</v>
      </c>
      <c r="J4" s="314" t="s">
        <v>155</v>
      </c>
      <c r="K4" s="314" t="s">
        <v>156</v>
      </c>
      <c r="L4" s="333" t="s">
        <v>159</v>
      </c>
    </row>
    <row r="5" spans="2:12" x14ac:dyDescent="0.3">
      <c r="B5" s="12"/>
      <c r="C5" s="45"/>
      <c r="D5" s="2"/>
      <c r="E5" s="3"/>
      <c r="F5" s="3"/>
      <c r="G5" s="190"/>
      <c r="H5" s="190"/>
      <c r="I5" s="10"/>
      <c r="J5" s="10"/>
      <c r="K5" s="10"/>
      <c r="L5" s="111"/>
    </row>
    <row r="6" spans="2:12" ht="79.8" x14ac:dyDescent="0.3">
      <c r="B6" s="15">
        <v>4300</v>
      </c>
      <c r="C6" s="49" t="s">
        <v>65</v>
      </c>
      <c r="D6" s="377">
        <v>3811</v>
      </c>
      <c r="E6" s="377">
        <v>4179</v>
      </c>
      <c r="F6" s="377">
        <v>1357</v>
      </c>
      <c r="G6" s="432">
        <v>4071.96</v>
      </c>
      <c r="H6" s="370">
        <v>4422.7</v>
      </c>
      <c r="I6" s="382">
        <f>IFERROR(G6/E6,"n/a")</f>
        <v>0.97438621679827708</v>
      </c>
      <c r="J6" s="382">
        <f>IFERROR(H6/E6,"n/a")</f>
        <v>1.0583153864560899</v>
      </c>
      <c r="K6" s="382">
        <f>IFERROR(H6/G6,"n/a")</f>
        <v>1.0861354237271486</v>
      </c>
      <c r="L6" s="489" t="s">
        <v>229</v>
      </c>
    </row>
    <row r="7" spans="2:12" x14ac:dyDescent="0.3">
      <c r="B7" s="94"/>
      <c r="C7" s="87"/>
      <c r="D7" s="378"/>
      <c r="E7" s="378"/>
      <c r="F7" s="378"/>
      <c r="G7" s="433"/>
      <c r="H7" s="371"/>
      <c r="I7" s="378"/>
      <c r="J7" s="378"/>
      <c r="K7" s="378"/>
      <c r="L7" s="519"/>
    </row>
    <row r="8" spans="2:12" ht="66.599999999999994" x14ac:dyDescent="0.3">
      <c r="B8" s="15">
        <v>4301</v>
      </c>
      <c r="C8" s="49" t="s">
        <v>66</v>
      </c>
      <c r="D8" s="35">
        <v>10950</v>
      </c>
      <c r="E8" s="35">
        <v>20000</v>
      </c>
      <c r="F8" s="35">
        <v>3285</v>
      </c>
      <c r="G8" s="434">
        <v>17750</v>
      </c>
      <c r="H8" s="370">
        <v>17750</v>
      </c>
      <c r="I8" s="382">
        <f>IFERROR(G8/E8,"n/a")</f>
        <v>0.88749999999999996</v>
      </c>
      <c r="J8" s="382">
        <f>IFERROR(H8/E8,"n/a")</f>
        <v>0.88749999999999996</v>
      </c>
      <c r="K8" s="382">
        <f>IFERROR(H8/G8,"n/a")</f>
        <v>1</v>
      </c>
      <c r="L8" s="489" t="s">
        <v>230</v>
      </c>
    </row>
    <row r="9" spans="2:12" x14ac:dyDescent="0.3">
      <c r="B9" s="9"/>
      <c r="C9" s="46"/>
      <c r="D9" s="10"/>
      <c r="E9" s="10"/>
      <c r="F9" s="10"/>
      <c r="G9" s="435"/>
      <c r="H9" s="372"/>
      <c r="I9" s="10"/>
      <c r="J9" s="10"/>
      <c r="K9" s="10"/>
      <c r="L9" s="488"/>
    </row>
    <row r="10" spans="2:12" x14ac:dyDescent="0.3">
      <c r="B10" s="15">
        <v>4302</v>
      </c>
      <c r="C10" s="49" t="s">
        <v>67</v>
      </c>
      <c r="D10" s="377">
        <v>2352</v>
      </c>
      <c r="E10" s="377">
        <v>2675</v>
      </c>
      <c r="F10" s="377">
        <v>504</v>
      </c>
      <c r="G10" s="432">
        <v>1624</v>
      </c>
      <c r="H10" s="370">
        <v>1705.2</v>
      </c>
      <c r="I10" s="382">
        <f>IFERROR(G10/E10,"n/a")</f>
        <v>0.60710280373831771</v>
      </c>
      <c r="J10" s="382">
        <f>IFERROR(H10/E10,"n/a")</f>
        <v>0.63745794392523369</v>
      </c>
      <c r="K10" s="382">
        <f>IFERROR(H10/G10,"n/a")</f>
        <v>1.05</v>
      </c>
      <c r="L10" s="489" t="s">
        <v>231</v>
      </c>
    </row>
    <row r="11" spans="2:12" x14ac:dyDescent="0.3">
      <c r="B11" s="9"/>
      <c r="C11" s="46"/>
      <c r="D11" s="10"/>
      <c r="E11" s="10"/>
      <c r="F11" s="10"/>
      <c r="G11" s="435"/>
      <c r="H11" s="372"/>
      <c r="I11" s="10"/>
      <c r="J11" s="10"/>
      <c r="K11" s="10"/>
      <c r="L11" s="488"/>
    </row>
    <row r="12" spans="2:12" ht="53.4" x14ac:dyDescent="0.3">
      <c r="B12" s="15">
        <v>4303</v>
      </c>
      <c r="C12" s="49" t="s">
        <v>68</v>
      </c>
      <c r="D12" s="377">
        <v>3765</v>
      </c>
      <c r="E12" s="377">
        <v>10000</v>
      </c>
      <c r="F12" s="377">
        <v>358</v>
      </c>
      <c r="G12" s="434">
        <v>13000</v>
      </c>
      <c r="H12" s="370">
        <v>10000</v>
      </c>
      <c r="I12" s="382">
        <f>IFERROR(G12/E12,"n/a")</f>
        <v>1.3</v>
      </c>
      <c r="J12" s="382">
        <f>IFERROR(H12/E12,"n/a")</f>
        <v>1</v>
      </c>
      <c r="K12" s="382">
        <f>IFERROR(H12/G12,"n/a")</f>
        <v>0.76923076923076927</v>
      </c>
      <c r="L12" s="489" t="s">
        <v>232</v>
      </c>
    </row>
    <row r="13" spans="2:12" x14ac:dyDescent="0.3">
      <c r="B13" s="14"/>
      <c r="C13" s="46"/>
      <c r="D13" s="379"/>
      <c r="E13" s="379"/>
      <c r="F13" s="379"/>
      <c r="G13" s="436"/>
      <c r="H13" s="373"/>
      <c r="I13" s="383"/>
      <c r="J13" s="383"/>
      <c r="K13" s="383"/>
      <c r="L13" s="494"/>
    </row>
    <row r="14" spans="2:12" ht="53.4" x14ac:dyDescent="0.3">
      <c r="B14" s="15">
        <v>4311</v>
      </c>
      <c r="C14" s="49" t="s">
        <v>144</v>
      </c>
      <c r="D14" s="377">
        <v>0</v>
      </c>
      <c r="E14" s="377">
        <v>683</v>
      </c>
      <c r="F14" s="377">
        <v>0</v>
      </c>
      <c r="G14" s="434">
        <v>683</v>
      </c>
      <c r="H14" s="370">
        <v>717.15</v>
      </c>
      <c r="I14" s="382">
        <f>IFERROR(G14/E14,"n/a")</f>
        <v>1</v>
      </c>
      <c r="J14" s="382">
        <f>IFERROR(H14/E14,"n/a")</f>
        <v>1.05</v>
      </c>
      <c r="K14" s="382">
        <f>IFERROR(H14/G14,"n/a")</f>
        <v>1.05</v>
      </c>
      <c r="L14" s="489" t="s">
        <v>233</v>
      </c>
    </row>
    <row r="15" spans="2:12" x14ac:dyDescent="0.3">
      <c r="B15" s="9"/>
      <c r="C15" s="46"/>
      <c r="D15" s="10"/>
      <c r="E15" s="10"/>
      <c r="F15" s="10"/>
      <c r="G15" s="435"/>
      <c r="H15" s="372"/>
      <c r="I15" s="10"/>
      <c r="J15" s="10"/>
      <c r="K15" s="10"/>
      <c r="L15" s="488"/>
    </row>
    <row r="16" spans="2:12" ht="28.2" customHeight="1" x14ac:dyDescent="0.3">
      <c r="B16" s="15">
        <v>4320</v>
      </c>
      <c r="C16" s="50" t="s">
        <v>69</v>
      </c>
      <c r="D16" s="73">
        <v>2701</v>
      </c>
      <c r="E16" s="73">
        <v>2701</v>
      </c>
      <c r="F16" s="73">
        <v>2701</v>
      </c>
      <c r="G16" s="432">
        <v>2701</v>
      </c>
      <c r="H16" s="370">
        <v>2701</v>
      </c>
      <c r="I16" s="382">
        <f>IFERROR(G16/E16,"n/a")</f>
        <v>1</v>
      </c>
      <c r="J16" s="382">
        <f>IFERROR(H16/E16,"n/a")</f>
        <v>1</v>
      </c>
      <c r="K16" s="382">
        <f>IFERROR(H16/G16,"n/a")</f>
        <v>1</v>
      </c>
      <c r="L16" s="489" t="s">
        <v>70</v>
      </c>
    </row>
    <row r="17" spans="2:12" x14ac:dyDescent="0.3">
      <c r="B17" s="9"/>
      <c r="C17" s="47"/>
      <c r="D17" s="10"/>
      <c r="E17" s="10"/>
      <c r="F17" s="10"/>
      <c r="G17" s="435"/>
      <c r="H17" s="372"/>
      <c r="I17" s="10"/>
      <c r="J17" s="10"/>
      <c r="K17" s="10"/>
      <c r="L17" s="488"/>
    </row>
    <row r="18" spans="2:12" ht="40.200000000000003" customHeight="1" x14ac:dyDescent="0.3">
      <c r="B18" s="15">
        <v>4200</v>
      </c>
      <c r="C18" s="50" t="s">
        <v>71</v>
      </c>
      <c r="D18" s="377">
        <v>1107</v>
      </c>
      <c r="E18" s="377">
        <v>2772</v>
      </c>
      <c r="F18" s="377">
        <v>1083</v>
      </c>
      <c r="G18" s="432">
        <v>2169.02</v>
      </c>
      <c r="H18" s="370">
        <v>4020</v>
      </c>
      <c r="I18" s="382">
        <f>IFERROR(G18/E18,"n/a")</f>
        <v>0.78247474747474743</v>
      </c>
      <c r="J18" s="382">
        <f>IFERROR(H18/E18,"n/a")</f>
        <v>1.4502164502164503</v>
      </c>
      <c r="K18" s="382">
        <f>IFERROR(H18/G18,"n/a")</f>
        <v>1.8533715687268906</v>
      </c>
      <c r="L18" s="489" t="s">
        <v>234</v>
      </c>
    </row>
    <row r="19" spans="2:12" x14ac:dyDescent="0.3">
      <c r="B19" s="9"/>
      <c r="C19" s="47"/>
      <c r="D19" s="10"/>
      <c r="E19" s="10"/>
      <c r="F19" s="10"/>
      <c r="G19" s="435"/>
      <c r="H19" s="372"/>
      <c r="I19" s="10"/>
      <c r="J19" s="10"/>
      <c r="K19" s="10"/>
      <c r="L19" s="488"/>
    </row>
    <row r="20" spans="2:12" ht="27" x14ac:dyDescent="0.3">
      <c r="B20" s="15">
        <v>4201</v>
      </c>
      <c r="C20" s="50" t="s">
        <v>72</v>
      </c>
      <c r="D20" s="377">
        <v>1218</v>
      </c>
      <c r="E20" s="377">
        <v>1000</v>
      </c>
      <c r="F20" s="377">
        <v>60</v>
      </c>
      <c r="G20" s="432">
        <v>1000</v>
      </c>
      <c r="H20" s="370">
        <v>1500</v>
      </c>
      <c r="I20" s="382">
        <f>IFERROR(G20/E20,"n/a")</f>
        <v>1</v>
      </c>
      <c r="J20" s="382">
        <f>IFERROR(H20/E20,"n/a")</f>
        <v>1.5</v>
      </c>
      <c r="K20" s="382">
        <f>IFERROR(H20/G20,"n/a")</f>
        <v>1.5</v>
      </c>
      <c r="L20" s="489" t="s">
        <v>235</v>
      </c>
    </row>
    <row r="21" spans="2:12" x14ac:dyDescent="0.3">
      <c r="B21" s="9"/>
      <c r="C21" s="47"/>
      <c r="D21" s="10"/>
      <c r="E21" s="10"/>
      <c r="F21" s="10"/>
      <c r="G21" s="435"/>
      <c r="H21" s="372"/>
      <c r="I21" s="10"/>
      <c r="J21" s="10"/>
      <c r="K21" s="10"/>
      <c r="L21" s="488"/>
    </row>
    <row r="22" spans="2:12" x14ac:dyDescent="0.3">
      <c r="B22" s="15">
        <v>4202</v>
      </c>
      <c r="C22" s="50" t="s">
        <v>73</v>
      </c>
      <c r="D22" s="377">
        <v>250</v>
      </c>
      <c r="E22" s="377">
        <v>250</v>
      </c>
      <c r="F22" s="377">
        <v>125</v>
      </c>
      <c r="G22" s="432">
        <v>250</v>
      </c>
      <c r="H22" s="370">
        <v>250</v>
      </c>
      <c r="I22" s="382">
        <f>IFERROR(G22/E22,"n/a")</f>
        <v>1</v>
      </c>
      <c r="J22" s="382">
        <f>IFERROR(H22/E22,"n/a")</f>
        <v>1</v>
      </c>
      <c r="K22" s="382">
        <f>IFERROR(H22/G22,"n/a")</f>
        <v>1</v>
      </c>
      <c r="L22" s="487"/>
    </row>
    <row r="23" spans="2:12" x14ac:dyDescent="0.3">
      <c r="B23" s="96"/>
      <c r="C23" s="408"/>
      <c r="D23" s="379"/>
      <c r="E23" s="379"/>
      <c r="F23" s="379"/>
      <c r="G23" s="437"/>
      <c r="H23" s="373"/>
      <c r="I23" s="383"/>
      <c r="J23" s="383"/>
      <c r="K23" s="383"/>
      <c r="L23" s="488"/>
    </row>
    <row r="24" spans="2:12" x14ac:dyDescent="0.3">
      <c r="B24" s="429">
        <v>4210</v>
      </c>
      <c r="C24" s="430" t="s">
        <v>12</v>
      </c>
      <c r="D24" s="431">
        <v>3385</v>
      </c>
      <c r="E24" s="431"/>
      <c r="F24" s="431">
        <v>-1245</v>
      </c>
      <c r="G24" s="437">
        <v>0</v>
      </c>
      <c r="H24" s="373"/>
      <c r="I24" s="383"/>
      <c r="J24" s="383"/>
      <c r="K24" s="383"/>
      <c r="L24" s="488"/>
    </row>
    <row r="25" spans="2:12" x14ac:dyDescent="0.3">
      <c r="B25" s="96"/>
      <c r="C25" s="95"/>
      <c r="D25" s="380"/>
      <c r="E25" s="380"/>
      <c r="F25" s="380"/>
      <c r="G25" s="438"/>
      <c r="H25" s="374"/>
      <c r="I25" s="384"/>
      <c r="J25" s="384"/>
      <c r="K25" s="384"/>
      <c r="L25" s="519"/>
    </row>
    <row r="26" spans="2:12" ht="27" x14ac:dyDescent="0.3">
      <c r="B26" s="37">
        <v>4309</v>
      </c>
      <c r="C26" s="106" t="s">
        <v>74</v>
      </c>
      <c r="D26" s="73">
        <v>156</v>
      </c>
      <c r="E26" s="73">
        <v>221</v>
      </c>
      <c r="F26" s="73">
        <v>70</v>
      </c>
      <c r="G26" s="432">
        <v>140</v>
      </c>
      <c r="H26" s="370">
        <v>237</v>
      </c>
      <c r="I26" s="382">
        <f>IFERROR(G26/E26,"n/a")</f>
        <v>0.63348416289592757</v>
      </c>
      <c r="J26" s="382">
        <f>IFERROR(H26/E26,"n/a")</f>
        <v>1.0723981900452488</v>
      </c>
      <c r="K26" s="382">
        <f>IFERROR(H26/G26,"n/a")</f>
        <v>1.6928571428571428</v>
      </c>
      <c r="L26" s="489" t="s">
        <v>236</v>
      </c>
    </row>
    <row r="27" spans="2:12" x14ac:dyDescent="0.3">
      <c r="B27" s="538"/>
    </row>
    <row r="28" spans="2:12" x14ac:dyDescent="0.3">
      <c r="B28" s="37">
        <v>4375</v>
      </c>
      <c r="C28" s="71" t="s">
        <v>79</v>
      </c>
      <c r="D28" s="394">
        <v>0</v>
      </c>
      <c r="E28" s="394">
        <v>1150</v>
      </c>
      <c r="F28" s="394">
        <v>0</v>
      </c>
      <c r="G28" s="418">
        <v>600</v>
      </c>
      <c r="H28" s="396">
        <v>500</v>
      </c>
      <c r="I28" s="382">
        <f>IFERROR(G28/E28,"n/a")</f>
        <v>0.52173913043478259</v>
      </c>
      <c r="J28" s="382">
        <f>IFERROR(H28/E28,"n/a")</f>
        <v>0.43478260869565216</v>
      </c>
      <c r="K28" s="382">
        <f>IFERROR(H28/G28,"n/a")</f>
        <v>0.83333333333333337</v>
      </c>
      <c r="L28" s="489" t="s">
        <v>241</v>
      </c>
    </row>
    <row r="29" spans="2:12" x14ac:dyDescent="0.3">
      <c r="B29" s="37"/>
      <c r="C29" s="71"/>
      <c r="D29" s="394"/>
      <c r="E29" s="394"/>
      <c r="F29" s="394"/>
      <c r="G29" s="418"/>
      <c r="H29" s="396"/>
      <c r="I29" s="382"/>
      <c r="J29" s="382"/>
      <c r="K29" s="382"/>
      <c r="L29" s="494"/>
    </row>
    <row r="30" spans="2:12" ht="27" x14ac:dyDescent="0.3">
      <c r="B30" s="37">
        <v>4352</v>
      </c>
      <c r="C30" s="67" t="s">
        <v>77</v>
      </c>
      <c r="D30" s="394">
        <v>13</v>
      </c>
      <c r="E30" s="394">
        <v>0</v>
      </c>
      <c r="F30" s="394">
        <v>0</v>
      </c>
      <c r="G30" s="418">
        <v>0</v>
      </c>
      <c r="H30" s="396">
        <v>400</v>
      </c>
      <c r="I30" s="382" t="str">
        <f>IFERROR(G30/E30,"n/a")</f>
        <v>n/a</v>
      </c>
      <c r="J30" s="382" t="str">
        <f>IFERROR(H30/E30,"n/a")</f>
        <v>n/a</v>
      </c>
      <c r="K30" s="382" t="str">
        <f>IFERROR(H30/G30,"n/a")</f>
        <v>n/a</v>
      </c>
      <c r="L30" s="494" t="s">
        <v>240</v>
      </c>
    </row>
    <row r="31" spans="2:12" x14ac:dyDescent="0.3">
      <c r="B31" s="25"/>
      <c r="C31" s="45"/>
      <c r="D31" s="539"/>
      <c r="E31" s="539"/>
      <c r="F31" s="539"/>
      <c r="G31" s="117"/>
      <c r="H31" s="390"/>
      <c r="I31" s="383"/>
      <c r="J31" s="383"/>
      <c r="K31" s="383"/>
      <c r="L31" s="494"/>
    </row>
    <row r="32" spans="2:12" x14ac:dyDescent="0.3">
      <c r="B32" s="12">
        <v>4354</v>
      </c>
      <c r="C32" s="45" t="s">
        <v>127</v>
      </c>
      <c r="D32" s="3">
        <v>0</v>
      </c>
      <c r="E32" s="10">
        <v>1750</v>
      </c>
      <c r="F32" s="10">
        <v>180</v>
      </c>
      <c r="G32" s="114">
        <v>180</v>
      </c>
      <c r="H32" s="113">
        <v>0</v>
      </c>
      <c r="I32" s="23">
        <f>IFERROR(G32/E32,"n/a")</f>
        <v>0.10285714285714286</v>
      </c>
      <c r="J32" s="23">
        <f>IFERROR(H32/E32,"n/a")</f>
        <v>0</v>
      </c>
      <c r="K32" s="23">
        <f>IFERROR(H32/G32,"n/a")</f>
        <v>0</v>
      </c>
      <c r="L32" s="494"/>
    </row>
    <row r="33" spans="2:12" ht="31.95" customHeight="1" thickBot="1" x14ac:dyDescent="0.35">
      <c r="B33" s="11"/>
      <c r="C33" s="48" t="s">
        <v>281</v>
      </c>
      <c r="D33" s="381">
        <f>SUM(D5:D32)</f>
        <v>29708</v>
      </c>
      <c r="E33" s="381">
        <f>SUM(E5:E32)</f>
        <v>47381</v>
      </c>
      <c r="F33" s="381">
        <f>SUM(F5:F32)</f>
        <v>8478</v>
      </c>
      <c r="G33" s="439">
        <f>SUM(G5:G32)</f>
        <v>44168.979999999996</v>
      </c>
      <c r="H33" s="453">
        <f>SUM(H5:H32)</f>
        <v>44203.05</v>
      </c>
      <c r="I33" s="385">
        <f>IFERROR(G33/E33,"n/a")</f>
        <v>0.93220869124754635</v>
      </c>
      <c r="J33" s="385">
        <f>IFERROR(H33/E33,"n/a")</f>
        <v>0.93292775585150167</v>
      </c>
      <c r="K33" s="385">
        <f>IFERROR(H33/G33,"n/a")</f>
        <v>1.0007713558248348</v>
      </c>
      <c r="L33" s="520"/>
    </row>
    <row r="34" spans="2:12" ht="15.6" customHeight="1" x14ac:dyDescent="0.3">
      <c r="B34" s="275"/>
      <c r="C34" s="46"/>
      <c r="D34" s="16"/>
      <c r="E34" s="77"/>
      <c r="F34" s="77"/>
      <c r="G34" s="440"/>
      <c r="H34" s="372"/>
      <c r="I34" s="91"/>
      <c r="J34" s="91"/>
      <c r="K34" s="91"/>
      <c r="L34" s="486"/>
    </row>
    <row r="35" spans="2:12" x14ac:dyDescent="0.3">
      <c r="B35" s="275">
        <v>4210</v>
      </c>
      <c r="C35" s="46" t="s">
        <v>89</v>
      </c>
      <c r="D35" s="16">
        <v>0</v>
      </c>
      <c r="E35" s="77">
        <v>0</v>
      </c>
      <c r="F35" s="77">
        <v>0</v>
      </c>
      <c r="G35" s="436">
        <v>15898</v>
      </c>
      <c r="H35" s="372">
        <v>47697</v>
      </c>
      <c r="I35" s="91" t="str">
        <f>IFERROR(G35/E35,"n/a")</f>
        <v>n/a</v>
      </c>
      <c r="J35" s="91" t="str">
        <f>IFERROR(H35/E35,"n/a")</f>
        <v>n/a</v>
      </c>
      <c r="K35" s="91">
        <f>IFERROR(H35/G35,"n/a")</f>
        <v>3.0001887029815073</v>
      </c>
      <c r="L35" s="494" t="s">
        <v>237</v>
      </c>
    </row>
    <row r="36" spans="2:12" x14ac:dyDescent="0.3">
      <c r="B36" s="284"/>
      <c r="C36" s="130"/>
      <c r="D36" s="16"/>
      <c r="E36" s="77"/>
      <c r="F36" s="77"/>
      <c r="G36" s="440"/>
      <c r="H36" s="372"/>
      <c r="I36" s="91"/>
      <c r="J36" s="91"/>
      <c r="K36" s="91"/>
      <c r="L36" s="486"/>
    </row>
    <row r="37" spans="2:12" ht="27" x14ac:dyDescent="0.3">
      <c r="B37" s="173">
        <v>4301</v>
      </c>
      <c r="C37" s="235" t="s">
        <v>90</v>
      </c>
      <c r="D37" s="171">
        <v>0</v>
      </c>
      <c r="E37" s="228">
        <v>0</v>
      </c>
      <c r="F37" s="228">
        <v>0</v>
      </c>
      <c r="G37" s="523">
        <v>1000</v>
      </c>
      <c r="H37" s="524">
        <v>0</v>
      </c>
      <c r="I37" s="172" t="str">
        <f>IFERROR(G37/E37,"n/a")</f>
        <v>n/a</v>
      </c>
      <c r="J37" s="172" t="str">
        <f>IFERROR(H37/E37,"n/a")</f>
        <v>n/a</v>
      </c>
      <c r="K37" s="172">
        <f>IFERROR(H37/G37,"n/a")</f>
        <v>0</v>
      </c>
      <c r="L37" s="497" t="s">
        <v>172</v>
      </c>
    </row>
    <row r="38" spans="2:12" x14ac:dyDescent="0.3">
      <c r="B38" s="275"/>
      <c r="C38" s="46"/>
      <c r="D38" s="16"/>
      <c r="E38" s="77"/>
      <c r="F38" s="77"/>
      <c r="G38" s="440"/>
      <c r="H38" s="372"/>
      <c r="I38" s="91"/>
      <c r="J38" s="91"/>
      <c r="K38" s="91"/>
      <c r="L38" s="486"/>
    </row>
    <row r="39" spans="2:12" ht="53.4" x14ac:dyDescent="0.3">
      <c r="B39" s="284">
        <v>4306</v>
      </c>
      <c r="C39" s="130" t="s">
        <v>100</v>
      </c>
      <c r="D39" s="16">
        <v>0</v>
      </c>
      <c r="E39" s="277">
        <v>0</v>
      </c>
      <c r="F39" s="277">
        <v>0</v>
      </c>
      <c r="G39" s="440">
        <v>0</v>
      </c>
      <c r="H39" s="372">
        <v>0</v>
      </c>
      <c r="I39" s="91" t="str">
        <f>IFERROR(G39/E39,"n/a")</f>
        <v>n/a</v>
      </c>
      <c r="J39" s="91" t="str">
        <f>IFERROR(H39/E39,"n/a")</f>
        <v>n/a</v>
      </c>
      <c r="K39" s="91" t="str">
        <f>IFERROR(H39/G39,"n/a")</f>
        <v>n/a</v>
      </c>
      <c r="L39" s="494" t="s">
        <v>238</v>
      </c>
    </row>
    <row r="40" spans="2:12" x14ac:dyDescent="0.3">
      <c r="B40" s="284"/>
      <c r="C40" s="130"/>
      <c r="D40" s="16"/>
      <c r="E40" s="277"/>
      <c r="F40" s="277"/>
      <c r="G40" s="440"/>
      <c r="H40" s="372"/>
      <c r="I40" s="91"/>
      <c r="J40" s="91"/>
      <c r="K40" s="91"/>
      <c r="L40" s="494"/>
    </row>
    <row r="41" spans="2:12" s="170" customFormat="1" ht="27.6" customHeight="1" x14ac:dyDescent="0.3">
      <c r="B41" s="525" t="s">
        <v>146</v>
      </c>
      <c r="C41" s="526" t="s">
        <v>170</v>
      </c>
      <c r="D41" s="171">
        <v>0</v>
      </c>
      <c r="E41" s="228">
        <v>0</v>
      </c>
      <c r="F41" s="228">
        <v>0</v>
      </c>
      <c r="G41" s="401">
        <v>7727</v>
      </c>
      <c r="H41" s="228">
        <v>0</v>
      </c>
      <c r="I41" s="172" t="str">
        <f>IFERROR(G41/E41,"n/a")</f>
        <v>n/a</v>
      </c>
      <c r="J41" s="172" t="str">
        <f>IFERROR(H41/E41,"n/a")</f>
        <v>n/a</v>
      </c>
      <c r="K41" s="172">
        <f>IFERROR(H41/G41,"n/a")</f>
        <v>0</v>
      </c>
      <c r="L41" s="497" t="s">
        <v>242</v>
      </c>
    </row>
    <row r="42" spans="2:12" x14ac:dyDescent="0.3">
      <c r="B42" s="284"/>
      <c r="C42" s="130"/>
      <c r="D42" s="16"/>
      <c r="E42" s="77"/>
      <c r="F42" s="77"/>
      <c r="G42" s="440"/>
      <c r="H42" s="372"/>
      <c r="I42" s="91"/>
      <c r="J42" s="91"/>
      <c r="K42" s="91"/>
      <c r="L42" s="494"/>
    </row>
    <row r="43" spans="2:12" s="170" customFormat="1" ht="41.4" customHeight="1" x14ac:dyDescent="0.3">
      <c r="B43" s="275">
        <v>4352</v>
      </c>
      <c r="C43" s="46" t="s">
        <v>98</v>
      </c>
      <c r="D43" s="16">
        <v>0</v>
      </c>
      <c r="E43" s="77">
        <v>0</v>
      </c>
      <c r="F43" s="77">
        <v>0</v>
      </c>
      <c r="G43" s="421">
        <v>340</v>
      </c>
      <c r="H43" s="113">
        <v>0</v>
      </c>
      <c r="I43" s="91" t="str">
        <f>IFERROR(G43/E43,"n/a")</f>
        <v>n/a</v>
      </c>
      <c r="J43" s="91" t="str">
        <f>IFERROR(H43/E43,"n/a")</f>
        <v>n/a</v>
      </c>
      <c r="K43" s="91">
        <f>IFERROR(H43/G43,"n/a")</f>
        <v>0</v>
      </c>
      <c r="L43" s="494" t="s">
        <v>249</v>
      </c>
    </row>
    <row r="44" spans="2:12" s="170" customFormat="1" ht="18.600000000000001" customHeight="1" x14ac:dyDescent="0.3">
      <c r="B44" s="275"/>
      <c r="C44" s="130"/>
      <c r="D44" s="16"/>
      <c r="E44" s="77"/>
      <c r="F44" s="77"/>
      <c r="G44" s="421"/>
      <c r="H44" s="113"/>
      <c r="I44" s="91"/>
      <c r="J44" s="91"/>
      <c r="K44" s="91"/>
      <c r="L44" s="494"/>
    </row>
    <row r="45" spans="2:12" ht="53.4" x14ac:dyDescent="0.3">
      <c r="B45" s="275">
        <v>4930</v>
      </c>
      <c r="C45" s="46" t="s">
        <v>86</v>
      </c>
      <c r="D45" s="16">
        <v>17147</v>
      </c>
      <c r="E45" s="77">
        <v>0</v>
      </c>
      <c r="F45" s="77">
        <v>0</v>
      </c>
      <c r="G45" s="421">
        <f>CIL!J14+CIL!L14-CIL!L6</f>
        <v>40000</v>
      </c>
      <c r="H45" s="113">
        <v>55000</v>
      </c>
      <c r="I45" s="91" t="str">
        <f>IFERROR(G45/E45,"n/a")</f>
        <v>n/a</v>
      </c>
      <c r="J45" s="91" t="str">
        <f>IFERROR(H45/E45,"n/a")</f>
        <v>n/a</v>
      </c>
      <c r="K45" s="91">
        <f>IFERROR(H45/G45,"n/a")</f>
        <v>1.375</v>
      </c>
      <c r="L45" s="494" t="s">
        <v>284</v>
      </c>
    </row>
    <row r="46" spans="2:12" x14ac:dyDescent="0.3">
      <c r="B46" s="284"/>
      <c r="C46" s="130"/>
      <c r="D46" s="16"/>
      <c r="E46" s="77"/>
      <c r="F46" s="77"/>
      <c r="G46" s="440"/>
      <c r="H46" s="372"/>
      <c r="I46" s="91"/>
      <c r="J46" s="91"/>
      <c r="K46" s="91"/>
      <c r="L46" s="494"/>
    </row>
    <row r="47" spans="2:12" x14ac:dyDescent="0.3">
      <c r="B47" s="278"/>
      <c r="C47" s="279" t="s">
        <v>87</v>
      </c>
      <c r="D47" s="280">
        <f>SUM(D35:D46)</f>
        <v>17147</v>
      </c>
      <c r="E47" s="272">
        <f>SUM(E35:E46)</f>
        <v>0</v>
      </c>
      <c r="F47" s="272">
        <f>SUM(F35:F46)</f>
        <v>0</v>
      </c>
      <c r="G47" s="441">
        <f>SUM(G35:G46)</f>
        <v>64965</v>
      </c>
      <c r="H47" s="375">
        <f>SUM(H35:H46)</f>
        <v>102697</v>
      </c>
      <c r="I47" s="281" t="str">
        <f>IFERROR(G47/E47,"n/a")</f>
        <v>n/a</v>
      </c>
      <c r="J47" s="281" t="str">
        <f>IFERROR(H47/E47,"n/a")</f>
        <v>n/a</v>
      </c>
      <c r="K47" s="281">
        <f>IFERROR(H47/G47,"n/a")</f>
        <v>1.5808050488724699</v>
      </c>
      <c r="L47" s="514"/>
    </row>
    <row r="48" spans="2:12" x14ac:dyDescent="0.3">
      <c r="B48" s="285"/>
      <c r="C48" s="130"/>
      <c r="D48" s="16"/>
      <c r="E48" s="77"/>
      <c r="F48" s="77"/>
      <c r="G48" s="440"/>
      <c r="H48" s="372"/>
      <c r="I48" s="91"/>
      <c r="J48" s="386"/>
      <c r="K48" s="386"/>
      <c r="L48" s="486"/>
    </row>
    <row r="49" spans="2:12" ht="16.2" thickBot="1" x14ac:dyDescent="0.35">
      <c r="B49" s="282"/>
      <c r="C49" s="55" t="s">
        <v>279</v>
      </c>
      <c r="D49" s="18">
        <f>D33+D47</f>
        <v>46855</v>
      </c>
      <c r="E49" s="18">
        <f>E33+E47</f>
        <v>47381</v>
      </c>
      <c r="F49" s="18">
        <f>F33+F47</f>
        <v>8478</v>
      </c>
      <c r="G49" s="442">
        <f>G33+G47</f>
        <v>109133.98</v>
      </c>
      <c r="H49" s="376">
        <f>H33+H47</f>
        <v>146900.04999999999</v>
      </c>
      <c r="I49" s="126">
        <f>IFERROR(G49/E49,"n/a")</f>
        <v>2.3033279162533504</v>
      </c>
      <c r="J49" s="126">
        <f>IFERROR(H49/E49,"n/a")</f>
        <v>3.1003999493467842</v>
      </c>
      <c r="K49" s="126">
        <f>IFERROR(H49/G49,"n/a")</f>
        <v>1.346052347765563</v>
      </c>
      <c r="L49" s="515"/>
    </row>
    <row r="50" spans="2:12" x14ac:dyDescent="0.3">
      <c r="L50" s="192"/>
    </row>
    <row r="51" spans="2:12" x14ac:dyDescent="0.3">
      <c r="H51" s="298"/>
      <c r="L51" s="192"/>
    </row>
    <row r="52" spans="2:12" x14ac:dyDescent="0.3">
      <c r="L52" s="192"/>
    </row>
    <row r="53" spans="2:12" x14ac:dyDescent="0.3">
      <c r="L53" s="192"/>
    </row>
  </sheetData>
  <phoneticPr fontId="13" type="noConversion"/>
  <pageMargins left="0.75000000000000011" right="0.75000000000000011" top="1" bottom="1" header="0.5" footer="0.5"/>
  <pageSetup paperSize="9" scale="4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L39"/>
  <sheetViews>
    <sheetView topLeftCell="A14" workbookViewId="0">
      <selection activeCell="D33" sqref="D33"/>
    </sheetView>
  </sheetViews>
  <sheetFormatPr defaultColWidth="11.19921875" defaultRowHeight="15.6" x14ac:dyDescent="0.3"/>
  <cols>
    <col min="1" max="1" width="4.19921875" customWidth="1"/>
    <col min="2" max="2" width="10.69921875" customWidth="1"/>
    <col min="3" max="3" width="35" customWidth="1"/>
    <col min="4" max="11" width="13.5" customWidth="1"/>
    <col min="12" max="12" width="61.5" customWidth="1"/>
  </cols>
  <sheetData>
    <row r="1" spans="2:12" ht="16.2" thickBot="1" x14ac:dyDescent="0.35"/>
    <row r="2" spans="2:12" ht="21" x14ac:dyDescent="0.3">
      <c r="B2" s="299" t="s">
        <v>148</v>
      </c>
      <c r="C2" s="334"/>
      <c r="D2" s="300"/>
      <c r="E2" s="335"/>
      <c r="F2" s="335"/>
      <c r="G2" s="336"/>
      <c r="H2" s="337"/>
      <c r="I2" s="337"/>
      <c r="J2" s="337"/>
      <c r="K2" s="337"/>
      <c r="L2" s="338"/>
    </row>
    <row r="3" spans="2:12" ht="21" x14ac:dyDescent="0.3">
      <c r="B3" s="339" t="s">
        <v>277</v>
      </c>
      <c r="C3" s="340"/>
      <c r="D3" s="306"/>
      <c r="E3" s="307"/>
      <c r="F3" s="307"/>
      <c r="G3" s="308"/>
      <c r="H3" s="341"/>
      <c r="I3" s="342"/>
      <c r="J3" s="342"/>
      <c r="K3" s="342"/>
      <c r="L3" s="343"/>
    </row>
    <row r="4" spans="2:12" ht="63" thickBot="1" x14ac:dyDescent="0.35">
      <c r="B4" s="330" t="s">
        <v>26</v>
      </c>
      <c r="C4" s="331" t="s">
        <v>27</v>
      </c>
      <c r="D4" s="314" t="s">
        <v>150</v>
      </c>
      <c r="E4" s="314" t="s">
        <v>126</v>
      </c>
      <c r="F4" s="314" t="s">
        <v>151</v>
      </c>
      <c r="G4" s="332" t="s">
        <v>152</v>
      </c>
      <c r="H4" s="332" t="s">
        <v>153</v>
      </c>
      <c r="I4" s="315" t="s">
        <v>154</v>
      </c>
      <c r="J4" s="314" t="s">
        <v>155</v>
      </c>
      <c r="K4" s="314" t="s">
        <v>156</v>
      </c>
      <c r="L4" s="333" t="s">
        <v>159</v>
      </c>
    </row>
    <row r="5" spans="2:12" x14ac:dyDescent="0.3">
      <c r="B5" s="19"/>
      <c r="C5" s="45"/>
      <c r="D5" s="2"/>
      <c r="E5" s="3"/>
      <c r="F5" s="3"/>
      <c r="G5" s="114"/>
      <c r="H5" s="113"/>
      <c r="I5" s="23"/>
      <c r="J5" s="23"/>
      <c r="K5" s="23"/>
      <c r="L5" s="105"/>
    </row>
    <row r="6" spans="2:12" ht="27" x14ac:dyDescent="0.3">
      <c r="B6" s="25">
        <v>4350</v>
      </c>
      <c r="C6" s="45" t="s">
        <v>16</v>
      </c>
      <c r="D6" s="3">
        <v>3880</v>
      </c>
      <c r="E6" s="3">
        <v>12000</v>
      </c>
      <c r="F6" s="3">
        <v>-1220</v>
      </c>
      <c r="G6" s="114">
        <v>1000</v>
      </c>
      <c r="H6" s="390">
        <v>0</v>
      </c>
      <c r="I6" s="23">
        <f>IFERROR(G6/E6,"n/a")</f>
        <v>8.3333333333333329E-2</v>
      </c>
      <c r="J6" s="23">
        <f>IFERROR(H6/E6,"n/a")</f>
        <v>0</v>
      </c>
      <c r="K6" s="23">
        <f>IFERROR(H6/G6,"n/a")</f>
        <v>0</v>
      </c>
      <c r="L6" s="494" t="s">
        <v>248</v>
      </c>
    </row>
    <row r="7" spans="2:12" x14ac:dyDescent="0.3">
      <c r="B7" s="12"/>
      <c r="C7" s="45"/>
      <c r="D7" s="2"/>
      <c r="E7" s="3"/>
      <c r="F7" s="3"/>
      <c r="G7" s="114"/>
      <c r="H7" s="113"/>
      <c r="I7" s="23"/>
      <c r="J7" s="23"/>
      <c r="K7" s="23"/>
      <c r="L7" s="490"/>
    </row>
    <row r="8" spans="2:12" x14ac:dyDescent="0.3">
      <c r="B8" s="37">
        <v>4350</v>
      </c>
      <c r="C8" s="71" t="s">
        <v>75</v>
      </c>
      <c r="D8" s="424">
        <v>20</v>
      </c>
      <c r="E8" s="35">
        <v>0</v>
      </c>
      <c r="F8" s="35">
        <v>0</v>
      </c>
      <c r="G8" s="418">
        <v>0</v>
      </c>
      <c r="H8" s="396">
        <v>1750</v>
      </c>
      <c r="I8" s="382" t="str">
        <f>IFERROR(G8/E8,"n/a")</f>
        <v>n/a</v>
      </c>
      <c r="J8" s="382" t="str">
        <f>IFERROR(H8/E8,"n/a")</f>
        <v>n/a</v>
      </c>
      <c r="K8" s="382" t="str">
        <f>IFERROR(H8/G8,"n/a")</f>
        <v>n/a</v>
      </c>
      <c r="L8" s="489" t="s">
        <v>239</v>
      </c>
    </row>
    <row r="9" spans="2:12" x14ac:dyDescent="0.3">
      <c r="B9" s="12"/>
      <c r="C9" s="45"/>
      <c r="D9" s="3"/>
      <c r="E9" s="10"/>
      <c r="F9" s="10"/>
      <c r="G9" s="114"/>
      <c r="H9" s="113"/>
      <c r="I9" s="23"/>
      <c r="J9" s="23"/>
      <c r="K9" s="23"/>
      <c r="L9" s="490"/>
    </row>
    <row r="10" spans="2:12" x14ac:dyDescent="0.3">
      <c r="B10" s="12"/>
      <c r="C10" s="45"/>
      <c r="D10" s="3">
        <v>0</v>
      </c>
      <c r="E10" s="3">
        <v>0</v>
      </c>
      <c r="F10" s="3">
        <v>0</v>
      </c>
      <c r="G10" s="114">
        <v>0</v>
      </c>
      <c r="H10" s="98">
        <v>0</v>
      </c>
      <c r="I10" s="23" t="str">
        <f>IFERROR(G10/E10,"n/a")</f>
        <v>n/a</v>
      </c>
      <c r="J10" s="23" t="str">
        <f>IFERROR(H10/E10,"n/a")</f>
        <v>n/a</v>
      </c>
      <c r="K10" s="23" t="str">
        <f>IFERROR(H10/G10,"n/a")</f>
        <v>n/a</v>
      </c>
      <c r="L10" s="490"/>
    </row>
    <row r="11" spans="2:12" x14ac:dyDescent="0.3">
      <c r="B11" s="12"/>
      <c r="C11" s="45"/>
      <c r="D11" s="3">
        <v>0</v>
      </c>
      <c r="E11" s="3">
        <v>0</v>
      </c>
      <c r="F11" s="3">
        <v>0</v>
      </c>
      <c r="G11" s="114">
        <v>0</v>
      </c>
      <c r="H11" s="98">
        <v>0</v>
      </c>
      <c r="I11" s="23" t="str">
        <f>IFERROR(G11/E11,"n/a")</f>
        <v>n/a</v>
      </c>
      <c r="J11" s="23" t="str">
        <f>IFERROR(H11/E11,"n/a")</f>
        <v>n/a</v>
      </c>
      <c r="K11" s="23" t="str">
        <f>IFERROR(H11/G11,"n/a")</f>
        <v>n/a</v>
      </c>
      <c r="L11" s="490"/>
    </row>
    <row r="12" spans="2:12" x14ac:dyDescent="0.3">
      <c r="B12" s="12"/>
      <c r="C12" s="45"/>
      <c r="D12" s="3">
        <v>0</v>
      </c>
      <c r="E12" s="3">
        <v>0</v>
      </c>
      <c r="F12" s="3">
        <v>0</v>
      </c>
      <c r="G12" s="114">
        <v>0</v>
      </c>
      <c r="H12" s="98">
        <v>0</v>
      </c>
      <c r="I12" s="23" t="str">
        <f>IFERROR(G12/E12,"n/a")</f>
        <v>n/a</v>
      </c>
      <c r="J12" s="23" t="str">
        <f>IFERROR(H12/E12,"n/a")</f>
        <v>n/a</v>
      </c>
      <c r="K12" s="23" t="str">
        <f>IFERROR(H12/G12,"n/a")</f>
        <v>n/a</v>
      </c>
      <c r="L12" s="488"/>
    </row>
    <row r="13" spans="2:12" x14ac:dyDescent="0.3">
      <c r="B13" s="12"/>
      <c r="C13" s="45"/>
      <c r="D13" s="2">
        <v>0</v>
      </c>
      <c r="E13" s="10">
        <v>0</v>
      </c>
      <c r="F13" s="10">
        <v>0</v>
      </c>
      <c r="G13" s="114">
        <v>0</v>
      </c>
      <c r="H13" s="113">
        <v>0</v>
      </c>
      <c r="I13" s="23" t="str">
        <f>IFERROR(G13/E13,"n/a")</f>
        <v>n/a</v>
      </c>
      <c r="J13" s="23" t="str">
        <f>IFERROR(H13/E13,"n/a")</f>
        <v>n/a</v>
      </c>
      <c r="K13" s="23" t="str">
        <f>IFERROR(H13/G13,"n/a")</f>
        <v>n/a</v>
      </c>
      <c r="L13" s="488"/>
    </row>
    <row r="14" spans="2:12" x14ac:dyDescent="0.3">
      <c r="B14" s="69">
        <v>4351</v>
      </c>
      <c r="C14" s="70" t="s">
        <v>76</v>
      </c>
      <c r="D14" s="395">
        <f>SUM(D10:D13)</f>
        <v>0</v>
      </c>
      <c r="E14" s="395">
        <v>0</v>
      </c>
      <c r="F14" s="395">
        <v>0</v>
      </c>
      <c r="G14" s="419">
        <f>SUM(G10:G13)</f>
        <v>0</v>
      </c>
      <c r="H14" s="388">
        <v>0</v>
      </c>
      <c r="I14" s="397" t="str">
        <f>IFERROR(G14/E14,"n/a")</f>
        <v>n/a</v>
      </c>
      <c r="J14" s="397" t="str">
        <f>IFERROR(H14/E14,"n/a")</f>
        <v>n/a</v>
      </c>
      <c r="K14" s="397" t="str">
        <f>IFERROR(H14/G14,"n/a")</f>
        <v>n/a</v>
      </c>
      <c r="L14" s="511"/>
    </row>
    <row r="15" spans="2:12" x14ac:dyDescent="0.3">
      <c r="B15" s="12"/>
      <c r="C15" s="45"/>
      <c r="D15" s="2"/>
      <c r="E15" s="3"/>
      <c r="F15" s="3"/>
      <c r="G15" s="114"/>
      <c r="H15" s="113"/>
      <c r="I15" s="23"/>
      <c r="J15" s="23"/>
      <c r="K15" s="23"/>
      <c r="L15" s="490"/>
    </row>
    <row r="16" spans="2:12" x14ac:dyDescent="0.3">
      <c r="B16" s="12"/>
      <c r="C16" s="45"/>
      <c r="D16" s="3"/>
      <c r="E16" s="3"/>
      <c r="F16" s="3"/>
      <c r="G16" s="114"/>
      <c r="H16" s="113"/>
      <c r="I16" s="23"/>
      <c r="J16" s="23"/>
      <c r="K16" s="23"/>
      <c r="L16" s="512"/>
    </row>
    <row r="17" spans="2:12" x14ac:dyDescent="0.3">
      <c r="B17" s="12">
        <v>4355</v>
      </c>
      <c r="C17" s="45" t="s">
        <v>128</v>
      </c>
      <c r="D17" s="3">
        <v>0</v>
      </c>
      <c r="E17" s="10">
        <v>500</v>
      </c>
      <c r="F17" s="10">
        <v>0</v>
      </c>
      <c r="G17" s="114">
        <v>500</v>
      </c>
      <c r="H17" s="113">
        <v>4000</v>
      </c>
      <c r="I17" s="23">
        <f>IFERROR(G17/E17,"n/a")</f>
        <v>1</v>
      </c>
      <c r="J17" s="23">
        <f>IFERROR(H17/E17,"n/a")</f>
        <v>8</v>
      </c>
      <c r="K17" s="23">
        <f>IFERROR(H17/G17,"n/a")</f>
        <v>8</v>
      </c>
      <c r="L17" s="486" t="s">
        <v>184</v>
      </c>
    </row>
    <row r="18" spans="2:12" x14ac:dyDescent="0.3">
      <c r="B18" s="12"/>
      <c r="C18" s="57"/>
      <c r="D18" s="3">
        <v>0</v>
      </c>
      <c r="E18" s="10">
        <v>0</v>
      </c>
      <c r="F18" s="10">
        <v>0</v>
      </c>
      <c r="G18" s="114">
        <v>0</v>
      </c>
      <c r="H18" s="113">
        <v>0</v>
      </c>
      <c r="I18" s="23" t="str">
        <f>IFERROR(G18/E18,"n/a")</f>
        <v>n/a</v>
      </c>
      <c r="J18" s="23" t="str">
        <f>IFERROR(H18/E18,"n/a")</f>
        <v>n/a</v>
      </c>
      <c r="K18" s="23" t="str">
        <f>IFERROR(H18/G18,"n/a")</f>
        <v>n/a</v>
      </c>
      <c r="L18" s="490"/>
    </row>
    <row r="19" spans="2:12" x14ac:dyDescent="0.3">
      <c r="B19" s="12"/>
      <c r="C19" s="57"/>
      <c r="D19" s="3">
        <v>0</v>
      </c>
      <c r="E19" s="77">
        <v>0</v>
      </c>
      <c r="F19" s="77">
        <v>0</v>
      </c>
      <c r="G19" s="114"/>
      <c r="H19" s="113">
        <v>0</v>
      </c>
      <c r="I19" s="23" t="str">
        <f>IFERROR(G19/E19,"n/a")</f>
        <v>n/a</v>
      </c>
      <c r="J19" s="23" t="str">
        <f>IFERROR(H19/E19,"n/a")</f>
        <v>n/a</v>
      </c>
      <c r="K19" s="23" t="str">
        <f>IFERROR(H19/G19,"n/a")</f>
        <v>n/a</v>
      </c>
      <c r="L19" s="490"/>
    </row>
    <row r="20" spans="2:12" x14ac:dyDescent="0.3">
      <c r="B20" s="12"/>
      <c r="C20" s="57"/>
      <c r="D20" s="3"/>
      <c r="E20" s="10"/>
      <c r="F20" s="10"/>
      <c r="G20" s="114">
        <v>0</v>
      </c>
      <c r="H20" s="113">
        <v>0</v>
      </c>
      <c r="I20" s="23" t="str">
        <f>IFERROR(G20/E20,"n/a")</f>
        <v>n/a</v>
      </c>
      <c r="J20" s="23" t="str">
        <f>IFERROR(H20/E20,"n/a")</f>
        <v>n/a</v>
      </c>
      <c r="K20" s="23" t="str">
        <f>IFERROR(H20/G20,"n/a")</f>
        <v>n/a</v>
      </c>
      <c r="L20" s="490"/>
    </row>
    <row r="21" spans="2:12" x14ac:dyDescent="0.3">
      <c r="B21" s="69">
        <v>4353</v>
      </c>
      <c r="C21" s="70" t="s">
        <v>78</v>
      </c>
      <c r="D21" s="395">
        <f>SUM(D17:D20)</f>
        <v>0</v>
      </c>
      <c r="E21" s="395">
        <f>SUM(E17:E20)</f>
        <v>500</v>
      </c>
      <c r="F21" s="395">
        <f>SUM(F17:F20)</f>
        <v>0</v>
      </c>
      <c r="G21" s="419">
        <f>SUM(G17:G20)</f>
        <v>500</v>
      </c>
      <c r="H21" s="388">
        <f>SUM(H17:H20)</f>
        <v>4000</v>
      </c>
      <c r="I21" s="397">
        <f>IFERROR(G21/E21,"n/a")</f>
        <v>1</v>
      </c>
      <c r="J21" s="397">
        <f>IFERROR(H21/E21,"n/a")</f>
        <v>8</v>
      </c>
      <c r="K21" s="397">
        <f>IFERROR(H21/G21,"n/a")</f>
        <v>8</v>
      </c>
      <c r="L21" s="511"/>
    </row>
    <row r="22" spans="2:12" x14ac:dyDescent="0.3">
      <c r="B22" s="12"/>
      <c r="C22" s="45"/>
      <c r="D22" s="3"/>
      <c r="E22" s="3"/>
      <c r="F22" s="3"/>
      <c r="G22" s="114"/>
      <c r="H22" s="113"/>
      <c r="I22" s="23"/>
      <c r="J22" s="23"/>
      <c r="K22" s="23"/>
      <c r="L22" s="490"/>
    </row>
    <row r="23" spans="2:12" x14ac:dyDescent="0.3">
      <c r="B23" s="21"/>
      <c r="C23" s="45"/>
      <c r="D23" s="3"/>
      <c r="E23" s="3"/>
      <c r="F23" s="3"/>
      <c r="G23" s="114"/>
      <c r="H23" s="113"/>
      <c r="I23" s="23" t="str">
        <f>IFERROR(G23/E23,"n/a")</f>
        <v>n/a</v>
      </c>
      <c r="J23" s="23" t="str">
        <f>IFERROR(H23/E23,"n/a")</f>
        <v>n/a</v>
      </c>
      <c r="K23" s="398" t="str">
        <f>IFERROR(H23/G23,"n/a")</f>
        <v>n/a</v>
      </c>
      <c r="L23" s="490"/>
    </row>
    <row r="24" spans="2:12" ht="31.8" thickBot="1" x14ac:dyDescent="0.35">
      <c r="B24" s="22"/>
      <c r="C24" s="58" t="s">
        <v>278</v>
      </c>
      <c r="D24" s="18">
        <f>+'106 Estate Managment'!D28+D21+'106 Estate Managment'!D30+D14+D8+D6</f>
        <v>3913</v>
      </c>
      <c r="E24" s="18">
        <f>+'106 Estate Managment'!E28+E21+'106 Estate Managment'!E30+E14+E8+E6</f>
        <v>13650</v>
      </c>
      <c r="F24" s="18">
        <f>+'106 Estate Managment'!F28+F21+'106 Estate Managment'!F30+F14+F8+F6</f>
        <v>-1220</v>
      </c>
      <c r="G24" s="428">
        <f>+'106 Estate Managment'!G28+G21+'106 Estate Managment'!G30+G14+G8+G6</f>
        <v>2100</v>
      </c>
      <c r="H24" s="391">
        <f>+H8+H21</f>
        <v>5750</v>
      </c>
      <c r="I24" s="24">
        <f>IFERROR(G24/E24,"n/a")</f>
        <v>0.15384615384615385</v>
      </c>
      <c r="J24" s="24">
        <f>IFERROR(H24/E24,"n/a")</f>
        <v>0.42124542124542125</v>
      </c>
      <c r="K24" s="399">
        <f>IFERROR(H24/G24,"n/a")</f>
        <v>2.7380952380952381</v>
      </c>
      <c r="L24" s="513"/>
    </row>
    <row r="25" spans="2:12" ht="15.6" customHeight="1" x14ac:dyDescent="0.3">
      <c r="B25" s="275"/>
      <c r="C25" s="46"/>
      <c r="D25" s="16"/>
      <c r="E25" s="77"/>
      <c r="F25" s="77"/>
      <c r="G25" s="421"/>
      <c r="H25" s="113"/>
      <c r="I25" s="91"/>
      <c r="J25" s="91"/>
      <c r="K25" s="91"/>
      <c r="L25" s="486"/>
    </row>
    <row r="26" spans="2:12" ht="27" x14ac:dyDescent="0.3">
      <c r="B26" s="275">
        <v>4721</v>
      </c>
      <c r="C26" s="46" t="s">
        <v>97</v>
      </c>
      <c r="D26" s="16">
        <v>2166</v>
      </c>
      <c r="E26" s="77">
        <v>0</v>
      </c>
      <c r="F26" s="77">
        <v>1100</v>
      </c>
      <c r="G26" s="421">
        <v>2425</v>
      </c>
      <c r="H26" s="98">
        <v>25000</v>
      </c>
      <c r="I26" s="91" t="str">
        <f>IFERROR(G26/E26,"n/a")</f>
        <v>n/a</v>
      </c>
      <c r="J26" s="91" t="str">
        <f>IFERROR(H26/E26,"n/a")</f>
        <v>n/a</v>
      </c>
      <c r="K26" s="91">
        <f>IFERROR(H26/G26,"n/a")</f>
        <v>10.309278350515465</v>
      </c>
      <c r="L26" s="494" t="s">
        <v>244</v>
      </c>
    </row>
    <row r="27" spans="2:12" x14ac:dyDescent="0.3">
      <c r="B27" s="284"/>
      <c r="C27" s="130"/>
      <c r="D27" s="16"/>
      <c r="E27" s="77"/>
      <c r="F27" s="77"/>
      <c r="G27" s="421"/>
      <c r="H27" s="113"/>
      <c r="I27" s="91"/>
      <c r="J27" s="91"/>
      <c r="K27" s="91"/>
      <c r="L27" s="486"/>
    </row>
    <row r="28" spans="2:12" x14ac:dyDescent="0.3">
      <c r="B28" s="278"/>
      <c r="C28" s="279" t="s">
        <v>87</v>
      </c>
      <c r="D28" s="280">
        <f>SUM(D25:D27)</f>
        <v>2166</v>
      </c>
      <c r="E28" s="272">
        <f>SUM(E25:E27)</f>
        <v>0</v>
      </c>
      <c r="F28" s="272">
        <f>SUM(F25:F27)</f>
        <v>1100</v>
      </c>
      <c r="G28" s="422">
        <f>SUM(G25:G27)</f>
        <v>2425</v>
      </c>
      <c r="H28" s="392">
        <f>SUM(H25:H27)</f>
        <v>25000</v>
      </c>
      <c r="I28" s="281" t="str">
        <f t="shared" ref="I28" si="0">IFERROR(G28/E28,"n/a")</f>
        <v>n/a</v>
      </c>
      <c r="J28" s="281" t="str">
        <f t="shared" ref="J28" si="1">IFERROR(H28/E28,"n/a")</f>
        <v>n/a</v>
      </c>
      <c r="K28" s="281">
        <f>IFERROR(H28/G28,"n/a")</f>
        <v>10.309278350515465</v>
      </c>
      <c r="L28" s="514"/>
    </row>
    <row r="29" spans="2:12" x14ac:dyDescent="0.3">
      <c r="B29" s="285"/>
      <c r="C29" s="130"/>
      <c r="D29" s="16"/>
      <c r="E29" s="77"/>
      <c r="F29" s="77"/>
      <c r="G29" s="421"/>
      <c r="H29" s="113"/>
      <c r="I29" s="91"/>
      <c r="J29" s="386"/>
      <c r="K29" s="386"/>
      <c r="L29" s="486"/>
    </row>
    <row r="30" spans="2:12" ht="16.2" thickBot="1" x14ac:dyDescent="0.35">
      <c r="B30" s="282"/>
      <c r="C30" s="55" t="s">
        <v>280</v>
      </c>
      <c r="D30" s="18">
        <f>D24+D28</f>
        <v>6079</v>
      </c>
      <c r="E30" s="18">
        <f>E24+E28</f>
        <v>13650</v>
      </c>
      <c r="F30" s="18">
        <f>F24+F28</f>
        <v>-120</v>
      </c>
      <c r="G30" s="423">
        <f>G24+G28</f>
        <v>4525</v>
      </c>
      <c r="H30" s="393">
        <f>H24+H28</f>
        <v>30750</v>
      </c>
      <c r="I30" s="126">
        <f>IFERROR(G30/E30,"n/a")</f>
        <v>0.33150183150183149</v>
      </c>
      <c r="J30" s="126">
        <f>IFERROR(H30/E30,"n/a")</f>
        <v>2.2527472527472527</v>
      </c>
      <c r="K30" s="126">
        <f>IFERROR(H30/G30,"n/a")</f>
        <v>6.7955801104972373</v>
      </c>
      <c r="L30" s="515"/>
    </row>
    <row r="31" spans="2:12" x14ac:dyDescent="0.3">
      <c r="C31" s="57"/>
      <c r="L31" s="57"/>
    </row>
    <row r="32" spans="2:12" x14ac:dyDescent="0.3">
      <c r="L32" s="57"/>
    </row>
    <row r="33" spans="12:12" x14ac:dyDescent="0.3">
      <c r="L33" s="57"/>
    </row>
    <row r="34" spans="12:12" x14ac:dyDescent="0.3">
      <c r="L34" s="57"/>
    </row>
    <row r="35" spans="12:12" x14ac:dyDescent="0.3">
      <c r="L35" s="57"/>
    </row>
    <row r="36" spans="12:12" x14ac:dyDescent="0.3">
      <c r="L36" s="57"/>
    </row>
    <row r="37" spans="12:12" x14ac:dyDescent="0.3">
      <c r="L37" s="57"/>
    </row>
    <row r="38" spans="12:12" x14ac:dyDescent="0.3">
      <c r="L38" s="57"/>
    </row>
    <row r="39" spans="12:12" x14ac:dyDescent="0.3">
      <c r="L39" s="57"/>
    </row>
  </sheetData>
  <phoneticPr fontId="13" type="noConversion"/>
  <pageMargins left="0.75000000000000011" right="0.75000000000000011" top="1" bottom="1" header="0.5" footer="0.5"/>
  <pageSetup paperSize="9" scale="55"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EB923-609F-4677-914D-59FD6CAD4964}">
  <dimension ref="A2:N31"/>
  <sheetViews>
    <sheetView workbookViewId="0">
      <selection activeCell="L7" sqref="L7"/>
    </sheetView>
  </sheetViews>
  <sheetFormatPr defaultRowHeight="15.6" x14ac:dyDescent="0.3"/>
  <cols>
    <col min="1" max="1" width="11.19921875" customWidth="1"/>
    <col min="2" max="2" width="11.69921875" customWidth="1"/>
    <col min="3" max="3" width="12.8984375" customWidth="1"/>
    <col min="4" max="4" width="12.69921875" customWidth="1"/>
    <col min="5" max="5" width="10.8984375" customWidth="1"/>
    <col min="6" max="6" width="11.5" customWidth="1"/>
    <col min="7" max="7" width="11" customWidth="1"/>
    <col min="8" max="8" width="13.69921875" customWidth="1"/>
    <col min="9" max="10" width="11" customWidth="1"/>
    <col min="11" max="11" width="10.19921875" customWidth="1"/>
    <col min="12" max="12" width="12.19921875" customWidth="1"/>
    <col min="13" max="13" width="12.5" customWidth="1"/>
    <col min="14" max="14" width="12.09765625" customWidth="1"/>
  </cols>
  <sheetData>
    <row r="2" spans="1:14" ht="21" x14ac:dyDescent="0.3">
      <c r="A2" s="179" t="s">
        <v>139</v>
      </c>
      <c r="B2" s="138"/>
      <c r="C2" s="138"/>
      <c r="D2" s="138"/>
      <c r="E2" s="138"/>
      <c r="F2" s="138"/>
      <c r="G2" s="138"/>
      <c r="H2" s="138"/>
      <c r="I2" s="138"/>
      <c r="J2" s="138"/>
    </row>
    <row r="3" spans="1:14" ht="21.6" thickBot="1" x14ac:dyDescent="0.35">
      <c r="A3" s="138"/>
      <c r="B3" s="138"/>
      <c r="C3" s="138"/>
      <c r="D3" s="138"/>
      <c r="E3" s="138"/>
      <c r="F3" s="138"/>
      <c r="G3" s="138"/>
      <c r="H3" s="138"/>
      <c r="I3" s="138"/>
      <c r="J3" s="138"/>
    </row>
    <row r="4" spans="1:14" ht="125.4" thickBot="1" x14ac:dyDescent="0.35">
      <c r="A4" s="211" t="s">
        <v>105</v>
      </c>
      <c r="B4" s="212" t="s">
        <v>118</v>
      </c>
      <c r="C4" s="213" t="s">
        <v>117</v>
      </c>
      <c r="D4" s="214" t="s">
        <v>106</v>
      </c>
      <c r="E4" s="214" t="s">
        <v>107</v>
      </c>
      <c r="F4" s="214" t="s">
        <v>108</v>
      </c>
      <c r="G4" s="215" t="s">
        <v>109</v>
      </c>
      <c r="H4" s="214" t="s">
        <v>110</v>
      </c>
      <c r="I4" s="214" t="s">
        <v>163</v>
      </c>
      <c r="J4" s="412" t="s">
        <v>188</v>
      </c>
      <c r="K4" s="214" t="s">
        <v>111</v>
      </c>
      <c r="L4" s="214" t="s">
        <v>186</v>
      </c>
      <c r="M4" s="212" t="s">
        <v>119</v>
      </c>
      <c r="N4" s="213" t="s">
        <v>256</v>
      </c>
    </row>
    <row r="5" spans="1:14" x14ac:dyDescent="0.3">
      <c r="A5" s="139"/>
      <c r="B5" s="194"/>
      <c r="C5" s="163"/>
      <c r="D5" s="140"/>
      <c r="E5" s="141"/>
      <c r="F5" s="142"/>
      <c r="G5" s="143"/>
      <c r="H5" s="507"/>
      <c r="I5" s="176"/>
      <c r="J5" s="176"/>
      <c r="K5" s="144"/>
      <c r="L5" s="410"/>
      <c r="M5" s="164"/>
      <c r="N5" s="163"/>
    </row>
    <row r="6" spans="1:14" ht="75" customHeight="1" x14ac:dyDescent="0.3">
      <c r="A6" s="146" t="s">
        <v>112</v>
      </c>
      <c r="B6" s="194">
        <v>16889</v>
      </c>
      <c r="C6" s="163"/>
      <c r="D6" s="409">
        <v>55016.480000000003</v>
      </c>
      <c r="E6" s="216">
        <v>45412</v>
      </c>
      <c r="F6" s="456" t="s">
        <v>161</v>
      </c>
      <c r="G6" s="413"/>
      <c r="H6" s="508"/>
      <c r="I6" s="196"/>
      <c r="J6" s="415"/>
      <c r="K6" s="501" t="s">
        <v>171</v>
      </c>
      <c r="L6" s="175">
        <v>3890</v>
      </c>
      <c r="M6" s="203"/>
      <c r="N6" s="163"/>
    </row>
    <row r="7" spans="1:14" ht="42.6" customHeight="1" x14ac:dyDescent="0.3">
      <c r="A7" s="146" t="s">
        <v>135</v>
      </c>
      <c r="B7" s="194">
        <v>17393</v>
      </c>
      <c r="C7" s="163"/>
      <c r="D7" s="141"/>
      <c r="E7" s="197"/>
      <c r="F7" s="177"/>
      <c r="G7" s="195" t="s">
        <v>113</v>
      </c>
      <c r="H7" s="509" t="s">
        <v>189</v>
      </c>
      <c r="I7" s="196">
        <v>40000</v>
      </c>
      <c r="J7" s="415">
        <f>I7-L7</f>
        <v>21260</v>
      </c>
      <c r="K7" s="501" t="s">
        <v>187</v>
      </c>
      <c r="L7" s="294">
        <v>18740</v>
      </c>
      <c r="M7" s="202"/>
      <c r="N7" s="163"/>
    </row>
    <row r="8" spans="1:14" ht="67.95" customHeight="1" thickBot="1" x14ac:dyDescent="0.35">
      <c r="A8" s="146" t="s">
        <v>160</v>
      </c>
      <c r="B8" s="194">
        <v>81915</v>
      </c>
      <c r="C8" s="163"/>
      <c r="D8" s="141">
        <v>34005.699999999997</v>
      </c>
      <c r="E8" s="216">
        <v>45412</v>
      </c>
      <c r="F8" s="498" t="s">
        <v>162</v>
      </c>
      <c r="G8" s="195"/>
      <c r="H8" s="509"/>
      <c r="I8" s="196"/>
      <c r="J8" s="415"/>
      <c r="K8" s="501"/>
      <c r="L8" s="294">
        <v>0</v>
      </c>
      <c r="M8" s="202"/>
      <c r="N8" s="163"/>
    </row>
    <row r="9" spans="1:14" ht="72" customHeight="1" x14ac:dyDescent="0.3">
      <c r="A9" s="454"/>
      <c r="B9" s="194"/>
      <c r="C9" s="163"/>
      <c r="D9" s="141">
        <v>68011.399999999994</v>
      </c>
      <c r="E9" s="216">
        <v>45595</v>
      </c>
      <c r="F9" s="499" t="s">
        <v>173</v>
      </c>
      <c r="G9" s="195"/>
      <c r="H9" s="509"/>
      <c r="I9" s="196"/>
      <c r="J9" s="415"/>
      <c r="K9" s="501"/>
      <c r="L9" s="294"/>
      <c r="M9" s="202"/>
      <c r="N9" s="163"/>
    </row>
    <row r="10" spans="1:14" ht="63.6" customHeight="1" thickBot="1" x14ac:dyDescent="0.35">
      <c r="A10" s="455"/>
      <c r="B10" s="194"/>
      <c r="C10" s="163"/>
      <c r="D10" s="141">
        <v>16261.12</v>
      </c>
      <c r="E10" s="216">
        <v>45595</v>
      </c>
      <c r="F10" s="499" t="s">
        <v>174</v>
      </c>
      <c r="G10" s="195"/>
      <c r="H10" s="509"/>
      <c r="I10" s="196"/>
      <c r="J10" s="415"/>
      <c r="K10" s="501"/>
      <c r="L10" s="294"/>
      <c r="M10" s="202"/>
      <c r="N10" s="163"/>
    </row>
    <row r="11" spans="1:14" x14ac:dyDescent="0.3">
      <c r="B11" s="193"/>
      <c r="C11" s="163"/>
      <c r="D11" s="198"/>
      <c r="E11" s="216"/>
      <c r="F11" s="293"/>
      <c r="G11" s="115"/>
      <c r="H11" s="502"/>
      <c r="I11" s="115"/>
      <c r="J11" s="416"/>
      <c r="K11" s="502"/>
      <c r="L11" s="411"/>
      <c r="M11" s="202"/>
      <c r="N11" s="163"/>
    </row>
    <row r="12" spans="1:14" ht="62.4" x14ac:dyDescent="0.3">
      <c r="A12" s="146"/>
      <c r="B12" s="161"/>
      <c r="C12" s="185"/>
      <c r="D12" s="186" t="s">
        <v>125</v>
      </c>
      <c r="E12" s="147"/>
      <c r="F12" s="178"/>
      <c r="G12" s="414"/>
      <c r="H12" s="508"/>
      <c r="I12" s="196"/>
      <c r="J12" s="415"/>
      <c r="K12" s="503"/>
      <c r="L12" s="175"/>
      <c r="M12" s="165"/>
      <c r="N12" s="163"/>
    </row>
    <row r="13" spans="1:14" x14ac:dyDescent="0.3">
      <c r="A13" s="146"/>
      <c r="B13" s="162">
        <v>0</v>
      </c>
      <c r="C13" s="163"/>
      <c r="D13" s="150"/>
      <c r="E13" s="148"/>
      <c r="F13" s="149"/>
      <c r="G13" s="115"/>
      <c r="H13" s="502"/>
      <c r="I13" s="115"/>
      <c r="J13" s="416"/>
      <c r="K13" s="502"/>
      <c r="L13" s="175"/>
      <c r="M13" s="165"/>
      <c r="N13" s="163"/>
    </row>
    <row r="14" spans="1:14" ht="16.2" thickBot="1" x14ac:dyDescent="0.35">
      <c r="A14" s="218">
        <v>45383</v>
      </c>
      <c r="B14" s="219">
        <f>SUM(B5:B13)</f>
        <v>116197</v>
      </c>
      <c r="C14" s="220">
        <v>0</v>
      </c>
      <c r="D14" s="229">
        <f>SUM(D5:D13)</f>
        <v>173294.69999999998</v>
      </c>
      <c r="E14" s="221"/>
      <c r="F14" s="222"/>
      <c r="G14" s="223"/>
      <c r="H14" s="222"/>
      <c r="I14" s="224">
        <f t="shared" ref="I14:L14" si="0">SUM(I5:I13)</f>
        <v>40000</v>
      </c>
      <c r="J14" s="483">
        <f t="shared" si="0"/>
        <v>21260</v>
      </c>
      <c r="K14" s="224"/>
      <c r="L14" s="443">
        <f t="shared" si="0"/>
        <v>22630</v>
      </c>
      <c r="M14" s="225">
        <f>B14+D14-L14</f>
        <v>266861.69999999995</v>
      </c>
      <c r="N14" s="227">
        <f>B14+D14-J14-L14</f>
        <v>245601.69999999995</v>
      </c>
    </row>
    <row r="15" spans="1:14" x14ac:dyDescent="0.3">
      <c r="A15" s="151"/>
      <c r="B15" s="161"/>
      <c r="C15" s="163"/>
      <c r="D15" s="187" t="s">
        <v>25</v>
      </c>
      <c r="E15" s="141"/>
      <c r="F15" s="152"/>
      <c r="G15" s="142"/>
      <c r="H15" s="507"/>
      <c r="J15" s="237" t="s">
        <v>140</v>
      </c>
      <c r="K15" s="504"/>
      <c r="L15" s="141"/>
      <c r="M15" s="166"/>
      <c r="N15" s="145"/>
    </row>
    <row r="16" spans="1:14" x14ac:dyDescent="0.3">
      <c r="A16" s="153"/>
      <c r="B16" s="161"/>
      <c r="C16" s="163"/>
      <c r="D16" s="180"/>
      <c r="E16" s="181"/>
      <c r="F16" s="182"/>
      <c r="H16" s="505" t="s">
        <v>201</v>
      </c>
      <c r="J16" s="480">
        <v>17500</v>
      </c>
      <c r="K16" s="505"/>
      <c r="M16" s="167"/>
      <c r="N16" s="145"/>
    </row>
    <row r="17" spans="1:14" x14ac:dyDescent="0.3">
      <c r="A17" s="158"/>
      <c r="B17" s="161"/>
      <c r="C17" s="163"/>
      <c r="D17" s="482">
        <v>16261.12</v>
      </c>
      <c r="E17" s="481">
        <v>45748</v>
      </c>
      <c r="F17" s="500" t="s">
        <v>185</v>
      </c>
      <c r="G17" s="199"/>
      <c r="H17" s="510"/>
      <c r="I17" s="200"/>
      <c r="J17" s="200"/>
      <c r="K17" s="506"/>
      <c r="L17" s="201"/>
      <c r="M17" s="168"/>
      <c r="N17" s="145"/>
    </row>
    <row r="18" spans="1:14" ht="27.6" x14ac:dyDescent="0.3">
      <c r="A18" s="153"/>
      <c r="B18" s="161"/>
      <c r="C18" s="163"/>
      <c r="D18" s="482">
        <v>13938.1</v>
      </c>
      <c r="E18" s="481">
        <v>45931</v>
      </c>
      <c r="F18" s="500" t="s">
        <v>185</v>
      </c>
      <c r="H18" s="499" t="s">
        <v>253</v>
      </c>
      <c r="J18" s="480">
        <v>22500</v>
      </c>
      <c r="K18" s="505"/>
      <c r="M18" s="169"/>
      <c r="N18" s="145"/>
    </row>
    <row r="19" spans="1:14" ht="96.6" x14ac:dyDescent="0.3">
      <c r="A19" s="159"/>
      <c r="B19" s="161"/>
      <c r="C19" s="163"/>
      <c r="D19" s="198">
        <v>56823</v>
      </c>
      <c r="E19" s="291"/>
      <c r="F19" s="500" t="s">
        <v>263</v>
      </c>
      <c r="H19" s="529" t="s">
        <v>254</v>
      </c>
      <c r="J19" s="480">
        <v>217000</v>
      </c>
      <c r="K19" s="505"/>
      <c r="M19" s="169"/>
      <c r="N19" s="145"/>
    </row>
    <row r="20" spans="1:14" ht="27.6" x14ac:dyDescent="0.3">
      <c r="A20" s="159"/>
      <c r="B20" s="161"/>
      <c r="C20" s="163"/>
      <c r="D20" s="198"/>
      <c r="E20" s="216"/>
      <c r="F20" s="217"/>
      <c r="H20" s="499" t="s">
        <v>255</v>
      </c>
      <c r="J20" s="480">
        <v>15000</v>
      </c>
      <c r="K20" s="505"/>
      <c r="M20" s="169"/>
      <c r="N20" s="145"/>
    </row>
    <row r="21" spans="1:14" x14ac:dyDescent="0.3">
      <c r="A21" s="159"/>
      <c r="B21" s="161"/>
      <c r="C21" s="163"/>
      <c r="D21" s="154"/>
      <c r="E21" s="155"/>
      <c r="F21" s="156"/>
      <c r="H21" s="505"/>
      <c r="J21" s="480"/>
      <c r="K21" s="505"/>
      <c r="M21" s="169"/>
      <c r="N21" s="145"/>
    </row>
    <row r="22" spans="1:14" x14ac:dyDescent="0.3">
      <c r="A22" s="158"/>
      <c r="B22" s="161"/>
      <c r="C22" s="163"/>
      <c r="D22" s="154"/>
      <c r="E22" s="157"/>
      <c r="F22" s="156"/>
      <c r="G22" s="143"/>
      <c r="H22" s="505"/>
      <c r="J22" s="480"/>
      <c r="K22" s="505"/>
      <c r="M22" s="169"/>
      <c r="N22" s="145"/>
    </row>
    <row r="23" spans="1:14" ht="16.2" thickBot="1" x14ac:dyDescent="0.35">
      <c r="A23" s="204">
        <v>45748</v>
      </c>
      <c r="B23" s="210">
        <f>M14</f>
        <v>266861.69999999995</v>
      </c>
      <c r="C23" s="226">
        <f>N14</f>
        <v>245601.69999999995</v>
      </c>
      <c r="D23" s="292">
        <f>SUM(D16:D22)</f>
        <v>87022.22</v>
      </c>
      <c r="E23" s="205"/>
      <c r="F23" s="206"/>
      <c r="G23" s="207"/>
      <c r="H23" s="207"/>
      <c r="I23" s="205">
        <f>SUM(I15:I22)</f>
        <v>0</v>
      </c>
      <c r="J23" s="530">
        <f>SUM(J16:J22)</f>
        <v>272000</v>
      </c>
      <c r="K23" s="205"/>
      <c r="L23" s="205">
        <f>SUM(L15:L22)</f>
        <v>0</v>
      </c>
      <c r="M23" s="208">
        <f>B23+D23-L23</f>
        <v>353883.91999999993</v>
      </c>
      <c r="N23" s="209">
        <f>B23+D23-J23</f>
        <v>81883.919999999925</v>
      </c>
    </row>
    <row r="24" spans="1:14" x14ac:dyDescent="0.3">
      <c r="I24" s="188"/>
      <c r="J24" s="237" t="s">
        <v>140</v>
      </c>
    </row>
    <row r="25" spans="1:14" x14ac:dyDescent="0.3">
      <c r="A25" s="527" t="s">
        <v>202</v>
      </c>
    </row>
    <row r="26" spans="1:14" x14ac:dyDescent="0.3">
      <c r="A26" s="184"/>
    </row>
    <row r="27" spans="1:14" x14ac:dyDescent="0.3">
      <c r="A27" s="528" t="s">
        <v>203</v>
      </c>
    </row>
    <row r="28" spans="1:14" x14ac:dyDescent="0.3">
      <c r="A28" s="183"/>
    </row>
    <row r="29" spans="1:14" x14ac:dyDescent="0.3">
      <c r="A29" s="535" t="s">
        <v>261</v>
      </c>
    </row>
    <row r="31" spans="1:14" x14ac:dyDescent="0.3">
      <c r="A31" s="534" t="s">
        <v>260</v>
      </c>
    </row>
  </sheetData>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0ea50aa-9a19-4cb4-ba41-57597350199e" xsi:nil="true"/>
    <lcf76f155ced4ddcb4097134ff3c332f xmlns="13ddb142-86c1-463f-9a12-a992385bda9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B5C84FA3040E7418E53DF000E6CBA75" ma:contentTypeVersion="18" ma:contentTypeDescription="Create a new document." ma:contentTypeScope="" ma:versionID="6fbb9268c7b1cfb99a195de870e36d9e">
  <xsd:schema xmlns:xsd="http://www.w3.org/2001/XMLSchema" xmlns:xs="http://www.w3.org/2001/XMLSchema" xmlns:p="http://schemas.microsoft.com/office/2006/metadata/properties" xmlns:ns2="13ddb142-86c1-463f-9a12-a992385bda94" xmlns:ns3="e0ea50aa-9a19-4cb4-ba41-57597350199e" targetNamespace="http://schemas.microsoft.com/office/2006/metadata/properties" ma:root="true" ma:fieldsID="e4b782ec3d184b11ccf47c2e71e1516f" ns2:_="" ns3:_="">
    <xsd:import namespace="13ddb142-86c1-463f-9a12-a992385bda94"/>
    <xsd:import namespace="e0ea50aa-9a19-4cb4-ba41-57597350199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ddb142-86c1-463f-9a12-a992385bda9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919250d-7dcb-4f5e-b444-383715c1c00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0ea50aa-9a19-4cb4-ba41-57597350199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a9b82454-37fd-4db9-bffb-e75612a8fe8e}" ma:internalName="TaxCatchAll" ma:showField="CatchAllData" ma:web="e0ea50aa-9a19-4cb4-ba41-57597350199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6018E7-BBCE-457A-99CA-B8AD2BC481EA}">
  <ds:schemaRefs>
    <ds:schemaRef ds:uri="http://schemas.microsoft.com/sharepoint/v3/contenttype/forms"/>
  </ds:schemaRefs>
</ds:datastoreItem>
</file>

<file path=customXml/itemProps2.xml><?xml version="1.0" encoding="utf-8"?>
<ds:datastoreItem xmlns:ds="http://schemas.openxmlformats.org/officeDocument/2006/customXml" ds:itemID="{9A00D664-52B7-45B9-B0D7-A34EA1FCAF72}">
  <ds:schemaRefs>
    <ds:schemaRef ds:uri="http://schemas.microsoft.com/office/2006/documentManagement/types"/>
    <ds:schemaRef ds:uri="http://www.w3.org/XML/1998/namespace"/>
    <ds:schemaRef ds:uri="http://purl.org/dc/terms/"/>
    <ds:schemaRef ds:uri="e0ea50aa-9a19-4cb4-ba41-57597350199e"/>
    <ds:schemaRef ds:uri="http://schemas.openxmlformats.org/package/2006/metadata/core-properties"/>
    <ds:schemaRef ds:uri="http://purl.org/dc/elements/1.1/"/>
    <ds:schemaRef ds:uri="http://schemas.microsoft.com/office/infopath/2007/PartnerControls"/>
    <ds:schemaRef ds:uri="13ddb142-86c1-463f-9a12-a992385bda94"/>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BB02A7AE-C73F-4214-904E-21FC772BA74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3ddb142-86c1-463f-9a12-a992385bda94"/>
    <ds:schemaRef ds:uri="e0ea50aa-9a19-4cb4-ba41-5759735019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Budget Summary</vt:lpstr>
      <vt:lpstr>Reserves</vt:lpstr>
      <vt:lpstr>100 Income</vt:lpstr>
      <vt:lpstr>101 Admin</vt:lpstr>
      <vt:lpstr>105 Community</vt:lpstr>
      <vt:lpstr>106 Estate Managment</vt:lpstr>
      <vt:lpstr>107 Planning and Highways</vt:lpstr>
      <vt:lpstr>CIL</vt:lpstr>
      <vt:lpstr>'100 Income'!Print_Area</vt:lpstr>
      <vt:lpstr>'101 Admin'!Print_Area</vt:lpstr>
      <vt:lpstr>'105 Community'!Print_Area</vt:lpstr>
      <vt:lpstr>'106 Estate Managment'!Print_Area</vt:lpstr>
      <vt:lpstr>'107 Planning and Highways'!Print_Area</vt:lpstr>
      <vt:lpstr>'Budget Summary'!Print_Area</vt:lpstr>
      <vt:lpstr>Reserves!Print_Area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Tina Reade</dc:creator>
  <cp:keywords/>
  <dc:description/>
  <cp:lastModifiedBy>Danielle Davis</cp:lastModifiedBy>
  <cp:revision/>
  <cp:lastPrinted>2025-06-09T14:45:32Z</cp:lastPrinted>
  <dcterms:created xsi:type="dcterms:W3CDTF">2018-08-23T05:15:26Z</dcterms:created>
  <dcterms:modified xsi:type="dcterms:W3CDTF">2025-07-11T11:42:55Z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0x0101009B5C84FA3040E7418E53DF000E6CBA75</vt:lpwstr>
  </property>
  <property fmtid="{D5CDD505-2E9C-101B-9397-08002B2CF9AE}" pid="3" name="MediaServiceImageTags">
    <vt:lpwstr/>
  </property>
</Properties>
</file>