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heckCompatibility="1" autoCompressPictures="0"/>
  <mc:AlternateContent xmlns:mc="http://schemas.openxmlformats.org/markup-compatibility/2006">
    <mc:Choice Requires="x15">
      <x15ac:absPath xmlns:x15ac="http://schemas.microsoft.com/office/spreadsheetml/2010/11/ac" url="https://stratfieldmortimer.sharepoint.com/sites/ParishOffice/Shared Documents/ADMINISTRATION 2024 - 2025/FINANCE/Budget 2025-26/"/>
    </mc:Choice>
  </mc:AlternateContent>
  <xr:revisionPtr revIDLastSave="2" documentId="8_{EA802773-6AEC-4205-9C45-873DF971A7AE}" xr6:coauthVersionLast="47" xr6:coauthVersionMax="47" xr10:uidLastSave="{C43483EC-F055-44D1-AB7B-1D860ACCEFA5}"/>
  <bookViews>
    <workbookView xWindow="-28920" yWindow="-6255" windowWidth="29040" windowHeight="15840" tabRatio="836" firstSheet="1" activeTab="8" xr2:uid="{00000000-000D-0000-FFFF-FFFF00000000}"/>
  </bookViews>
  <sheets>
    <sheet name="Budget Summary" sheetId="8" r:id="rId1"/>
    <sheet name="Reserves" sheetId="9" r:id="rId2"/>
    <sheet name="100 Income" sheetId="2" r:id="rId3"/>
    <sheet name="101 Admin" sheetId="3" r:id="rId4"/>
    <sheet name="104 Communications" sheetId="4" r:id="rId5"/>
    <sheet name="301 Fairground &amp; Cemetery" sheetId="5" r:id="rId6"/>
    <sheet name="302 Roads, Footpaths, Commons" sheetId="6" r:id="rId7"/>
    <sheet name="805 Community Projects" sheetId="7" r:id="rId8"/>
    <sheet name="CIL" sheetId="14" r:id="rId9"/>
  </sheets>
  <definedNames>
    <definedName name="_xlnm.Print_Area" localSheetId="2">'100 Income'!$B$2:$L$36</definedName>
    <definedName name="_xlnm.Print_Area" localSheetId="3">'101 Admin'!$B$2:$L$50</definedName>
    <definedName name="_xlnm.Print_Area" localSheetId="4">'104 Communications'!$B$2:$L$16</definedName>
    <definedName name="_xlnm.Print_Area" localSheetId="5">'301 Fairground &amp; Cemetery'!$B$2:$L$28</definedName>
    <definedName name="_xlnm.Print_Area" localSheetId="6">'302 Roads, Footpaths, Commons'!$B$2:$L$28</definedName>
    <definedName name="_xlnm.Print_Area" localSheetId="7">'805 Community Projects'!$B$2:$L$10</definedName>
    <definedName name="_xlnm.Print_Area" localSheetId="0">'Budget Summary'!$B$2:$L$37</definedName>
    <definedName name="_xlnm.Print_Area" localSheetId="1">Reserves!$B$3:$K$28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 l="1"/>
  <c r="J26" i="3"/>
  <c r="I26" i="3"/>
  <c r="H20" i="8"/>
  <c r="H10" i="7"/>
  <c r="K8" i="7" l="1"/>
  <c r="J8" i="7"/>
  <c r="I8" i="7"/>
  <c r="F17" i="9"/>
  <c r="J23" i="14"/>
  <c r="H46" i="3" s="1"/>
  <c r="I10" i="3"/>
  <c r="J10" i="3"/>
  <c r="K10" i="3"/>
  <c r="G46" i="3"/>
  <c r="J7" i="14"/>
  <c r="D23" i="6" l="1"/>
  <c r="E23" i="6"/>
  <c r="F23" i="6"/>
  <c r="G23" i="6"/>
  <c r="H23" i="6"/>
  <c r="I10" i="6"/>
  <c r="J10" i="6"/>
  <c r="K10" i="6"/>
  <c r="I23" i="6" l="1"/>
  <c r="J23" i="6"/>
  <c r="K23" i="6"/>
  <c r="H8" i="9"/>
  <c r="H12" i="9" l="1"/>
  <c r="K32" i="6"/>
  <c r="J32" i="6"/>
  <c r="I32" i="6"/>
  <c r="H13" i="9"/>
  <c r="H9" i="9"/>
  <c r="H5" i="9"/>
  <c r="H16" i="9" l="1"/>
  <c r="H14" i="9"/>
  <c r="E13" i="9"/>
  <c r="E7" i="9"/>
  <c r="E22" i="9"/>
  <c r="E14" i="9"/>
  <c r="E10" i="9"/>
  <c r="H22" i="9" l="1"/>
  <c r="H23" i="9" s="1"/>
  <c r="I27" i="9"/>
  <c r="G27" i="9"/>
  <c r="E27" i="9"/>
  <c r="H15" i="9"/>
  <c r="J22" i="9" l="1"/>
  <c r="H24" i="9"/>
  <c r="J24" i="9" s="1"/>
  <c r="J23" i="9"/>
  <c r="E17" i="9"/>
  <c r="J5" i="9"/>
  <c r="J16" i="9"/>
  <c r="J15" i="9"/>
  <c r="J14" i="9"/>
  <c r="J13" i="9"/>
  <c r="J8" i="9"/>
  <c r="J14" i="14" l="1"/>
  <c r="D14" i="14"/>
  <c r="B14" i="14"/>
  <c r="I23" i="14"/>
  <c r="L14" i="14"/>
  <c r="I14" i="14"/>
  <c r="N14" i="14" l="1"/>
  <c r="C23" i="14" s="1"/>
  <c r="E34" i="2"/>
  <c r="E26" i="2"/>
  <c r="E20" i="2"/>
  <c r="E28" i="2" l="1"/>
  <c r="E36" i="2" s="1"/>
  <c r="K14" i="5" l="1"/>
  <c r="J14" i="5"/>
  <c r="I14" i="5"/>
  <c r="J23" i="3"/>
  <c r="K23" i="3"/>
  <c r="I23" i="3"/>
  <c r="F16" i="7" l="1"/>
  <c r="F29" i="8" s="1"/>
  <c r="F10" i="7"/>
  <c r="F34" i="6"/>
  <c r="F28" i="8" s="1"/>
  <c r="F28" i="6"/>
  <c r="F36" i="5"/>
  <c r="F27" i="8" s="1"/>
  <c r="F28" i="5"/>
  <c r="F20" i="4"/>
  <c r="F26" i="8" s="1"/>
  <c r="F16" i="4"/>
  <c r="F22" i="4" s="1"/>
  <c r="F48" i="3"/>
  <c r="F25" i="8" s="1"/>
  <c r="F33" i="3"/>
  <c r="F9" i="8" s="1"/>
  <c r="F28" i="3"/>
  <c r="F26" i="2"/>
  <c r="F34" i="2"/>
  <c r="F20" i="2"/>
  <c r="K14" i="4"/>
  <c r="J14" i="4"/>
  <c r="I14" i="4"/>
  <c r="F18" i="7" l="1"/>
  <c r="F38" i="5"/>
  <c r="F28" i="2"/>
  <c r="F6" i="8" s="1"/>
  <c r="F31" i="8"/>
  <c r="F13" i="8"/>
  <c r="F12" i="8"/>
  <c r="F36" i="6"/>
  <c r="F11" i="8"/>
  <c r="F10" i="8"/>
  <c r="F50" i="3"/>
  <c r="F8" i="8"/>
  <c r="F19" i="8"/>
  <c r="F22" i="8" s="1"/>
  <c r="F33" i="8" s="1"/>
  <c r="G26" i="2"/>
  <c r="G20" i="2"/>
  <c r="K14" i="7"/>
  <c r="J14" i="7"/>
  <c r="I14" i="7"/>
  <c r="D20" i="8"/>
  <c r="D19" i="8"/>
  <c r="F36" i="2" l="1"/>
  <c r="F14" i="8"/>
  <c r="F16" i="8" s="1"/>
  <c r="F34" i="8"/>
  <c r="D22" i="8"/>
  <c r="F37" i="8" l="1"/>
  <c r="K22" i="3"/>
  <c r="J22" i="3"/>
  <c r="I22" i="3"/>
  <c r="G30" i="2"/>
  <c r="F25" i="9" s="1"/>
  <c r="J25" i="9" l="1"/>
  <c r="F27" i="9"/>
  <c r="H28" i="3"/>
  <c r="G28" i="3"/>
  <c r="E28" i="3"/>
  <c r="D28" i="3"/>
  <c r="K42" i="3" l="1"/>
  <c r="J42" i="3"/>
  <c r="I42" i="3"/>
  <c r="L23" i="14"/>
  <c r="K6" i="6" l="1"/>
  <c r="J6" i="6"/>
  <c r="I6" i="6"/>
  <c r="D23" i="14"/>
  <c r="H30" i="2" s="1"/>
  <c r="H19" i="8" s="1"/>
  <c r="H22" i="8" s="1"/>
  <c r="H27" i="9" l="1"/>
  <c r="K12" i="7"/>
  <c r="J12" i="7"/>
  <c r="I12" i="7"/>
  <c r="G17" i="9"/>
  <c r="H10" i="9"/>
  <c r="J10" i="9" s="1"/>
  <c r="H11" i="9"/>
  <c r="J11" i="9" s="1"/>
  <c r="J9" i="9"/>
  <c r="H7" i="9"/>
  <c r="J7" i="9" s="1"/>
  <c r="M14" i="14" l="1"/>
  <c r="B23" i="14" s="1"/>
  <c r="N23" i="14" s="1"/>
  <c r="M23" i="14" l="1"/>
  <c r="G19" i="8"/>
  <c r="G20" i="8"/>
  <c r="G22" i="8" l="1"/>
  <c r="I17" i="9"/>
  <c r="D18" i="9"/>
  <c r="K37" i="3"/>
  <c r="J37" i="3"/>
  <c r="I37" i="3"/>
  <c r="K34" i="5"/>
  <c r="J34" i="5"/>
  <c r="I34" i="5"/>
  <c r="H16" i="7"/>
  <c r="H29" i="8" s="1"/>
  <c r="G16" i="7"/>
  <c r="E16" i="7"/>
  <c r="E29" i="8" s="1"/>
  <c r="D16" i="7"/>
  <c r="D29" i="8" s="1"/>
  <c r="H34" i="6"/>
  <c r="H28" i="8" s="1"/>
  <c r="K28" i="8" s="1"/>
  <c r="G34" i="6"/>
  <c r="J12" i="9" s="1"/>
  <c r="E34" i="6"/>
  <c r="E28" i="8" s="1"/>
  <c r="I28" i="8" s="1"/>
  <c r="D34" i="6"/>
  <c r="D28" i="8" s="1"/>
  <c r="K30" i="6"/>
  <c r="J30" i="6"/>
  <c r="I30" i="6"/>
  <c r="H34" i="2"/>
  <c r="G34" i="2"/>
  <c r="D34" i="2"/>
  <c r="K32" i="2"/>
  <c r="J32" i="2"/>
  <c r="I32" i="2"/>
  <c r="K30" i="2"/>
  <c r="J30" i="2"/>
  <c r="I30" i="2"/>
  <c r="H48" i="3"/>
  <c r="H25" i="8" s="1"/>
  <c r="G48" i="3"/>
  <c r="K6" i="7"/>
  <c r="J6" i="7"/>
  <c r="I6" i="7"/>
  <c r="H36" i="5"/>
  <c r="H27" i="8" s="1"/>
  <c r="G36" i="5"/>
  <c r="E36" i="5"/>
  <c r="E27" i="8" s="1"/>
  <c r="E48" i="3"/>
  <c r="E25" i="8" s="1"/>
  <c r="D36" i="5"/>
  <c r="D27" i="8" s="1"/>
  <c r="K32" i="5"/>
  <c r="J32" i="5"/>
  <c r="I32" i="5"/>
  <c r="K30" i="5"/>
  <c r="J30" i="5"/>
  <c r="I30" i="5"/>
  <c r="H20" i="4"/>
  <c r="G20" i="4"/>
  <c r="E20" i="4"/>
  <c r="E26" i="8" s="1"/>
  <c r="D20" i="4"/>
  <c r="D26" i="8" s="1"/>
  <c r="K18" i="4"/>
  <c r="J18" i="4"/>
  <c r="I18" i="4"/>
  <c r="K39" i="3"/>
  <c r="J39" i="3"/>
  <c r="I39" i="3"/>
  <c r="K35" i="3"/>
  <c r="J35" i="3"/>
  <c r="I35" i="3"/>
  <c r="D48" i="3"/>
  <c r="D25" i="8" s="1"/>
  <c r="K7" i="3"/>
  <c r="J7" i="3"/>
  <c r="I7" i="3"/>
  <c r="E31" i="8" l="1"/>
  <c r="D31" i="8"/>
  <c r="K20" i="4"/>
  <c r="D33" i="8"/>
  <c r="J20" i="4"/>
  <c r="G26" i="8"/>
  <c r="I26" i="8" s="1"/>
  <c r="H26" i="8"/>
  <c r="H31" i="8" s="1"/>
  <c r="G27" i="8"/>
  <c r="G29" i="8"/>
  <c r="I29" i="8" s="1"/>
  <c r="J36" i="5"/>
  <c r="J29" i="8"/>
  <c r="I34" i="6"/>
  <c r="G28" i="8"/>
  <c r="I27" i="8" s="1"/>
  <c r="I36" i="5"/>
  <c r="K36" i="5"/>
  <c r="I48" i="3"/>
  <c r="J48" i="3"/>
  <c r="K48" i="3"/>
  <c r="G25" i="8"/>
  <c r="J28" i="8"/>
  <c r="J27" i="8"/>
  <c r="I20" i="4"/>
  <c r="K16" i="7"/>
  <c r="I16" i="7"/>
  <c r="H18" i="7"/>
  <c r="J16" i="7"/>
  <c r="J34" i="6"/>
  <c r="K34" i="6"/>
  <c r="K24" i="2"/>
  <c r="J24" i="2"/>
  <c r="I24" i="2"/>
  <c r="D14" i="6"/>
  <c r="D28" i="5"/>
  <c r="I8" i="3"/>
  <c r="I8" i="4"/>
  <c r="K27" i="6"/>
  <c r="K26" i="6"/>
  <c r="K22" i="6"/>
  <c r="K21" i="6"/>
  <c r="K20" i="6"/>
  <c r="K19" i="6"/>
  <c r="K18" i="6"/>
  <c r="K16" i="6"/>
  <c r="K13" i="6"/>
  <c r="K12" i="6"/>
  <c r="K11" i="6"/>
  <c r="K8" i="6"/>
  <c r="K26" i="5"/>
  <c r="K22" i="5"/>
  <c r="K20" i="5"/>
  <c r="K18" i="5"/>
  <c r="K16" i="5"/>
  <c r="K12" i="5"/>
  <c r="K10" i="5"/>
  <c r="K8" i="5"/>
  <c r="K6" i="5"/>
  <c r="K12" i="4"/>
  <c r="K10" i="4"/>
  <c r="K8" i="4"/>
  <c r="K6" i="4"/>
  <c r="K6" i="3"/>
  <c r="K34" i="2"/>
  <c r="K25" i="2"/>
  <c r="K23" i="2"/>
  <c r="K22" i="2"/>
  <c r="K19" i="2"/>
  <c r="K18" i="2"/>
  <c r="K17" i="2"/>
  <c r="K15" i="2"/>
  <c r="K13" i="2"/>
  <c r="K11" i="2"/>
  <c r="K9" i="2"/>
  <c r="K7" i="2"/>
  <c r="K5" i="2"/>
  <c r="K46" i="3"/>
  <c r="K44" i="3"/>
  <c r="K31" i="3"/>
  <c r="K30" i="3"/>
  <c r="K21" i="3"/>
  <c r="K20" i="3"/>
  <c r="K19" i="3"/>
  <c r="K18" i="3"/>
  <c r="K17" i="3"/>
  <c r="K16" i="3"/>
  <c r="K15" i="3"/>
  <c r="K14" i="3"/>
  <c r="K13" i="3"/>
  <c r="K12" i="3"/>
  <c r="K11" i="3"/>
  <c r="K9" i="3"/>
  <c r="K8" i="3"/>
  <c r="J26" i="5"/>
  <c r="I26" i="5"/>
  <c r="E28" i="5"/>
  <c r="E38" i="5" s="1"/>
  <c r="H28" i="5"/>
  <c r="H38" i="5" s="1"/>
  <c r="H20" i="2"/>
  <c r="H26" i="2"/>
  <c r="G16" i="4"/>
  <c r="G28" i="5"/>
  <c r="G14" i="6"/>
  <c r="G28" i="6" s="1"/>
  <c r="G10" i="7"/>
  <c r="D28" i="9"/>
  <c r="D31" i="9" s="1"/>
  <c r="E28" i="6"/>
  <c r="J27" i="6"/>
  <c r="I27" i="6"/>
  <c r="J26" i="6"/>
  <c r="I26" i="6"/>
  <c r="J22" i="6"/>
  <c r="I22" i="6"/>
  <c r="J21" i="6"/>
  <c r="I21" i="6"/>
  <c r="J20" i="6"/>
  <c r="I20" i="6"/>
  <c r="J19" i="6"/>
  <c r="I19" i="6"/>
  <c r="J18" i="6"/>
  <c r="I18" i="6"/>
  <c r="J16" i="6"/>
  <c r="I16" i="6"/>
  <c r="J14" i="6"/>
  <c r="J13" i="6"/>
  <c r="I13" i="6"/>
  <c r="J12" i="6"/>
  <c r="I12" i="6"/>
  <c r="J11" i="6"/>
  <c r="I11" i="6"/>
  <c r="J8" i="6"/>
  <c r="I8" i="6"/>
  <c r="J22" i="5"/>
  <c r="I22" i="5"/>
  <c r="J20" i="5"/>
  <c r="I20" i="5"/>
  <c r="J18" i="5"/>
  <c r="I18" i="5"/>
  <c r="J16" i="5"/>
  <c r="I16" i="5"/>
  <c r="J12" i="5"/>
  <c r="I12" i="5"/>
  <c r="J10" i="5"/>
  <c r="I10" i="5"/>
  <c r="J8" i="5"/>
  <c r="I8" i="5"/>
  <c r="J6" i="5"/>
  <c r="I6" i="5"/>
  <c r="E16" i="4"/>
  <c r="E22" i="4" s="1"/>
  <c r="J12" i="4"/>
  <c r="I12" i="4"/>
  <c r="J10" i="4"/>
  <c r="I10" i="4"/>
  <c r="J8" i="4"/>
  <c r="J6" i="4"/>
  <c r="I6" i="4"/>
  <c r="J34" i="2"/>
  <c r="I34" i="2"/>
  <c r="J25" i="2"/>
  <c r="I25" i="2"/>
  <c r="J23" i="2"/>
  <c r="I23" i="2"/>
  <c r="J22" i="2"/>
  <c r="I22" i="2"/>
  <c r="J19" i="2"/>
  <c r="I19" i="2"/>
  <c r="J18" i="2"/>
  <c r="I18" i="2"/>
  <c r="J17" i="2"/>
  <c r="I17" i="2"/>
  <c r="J15" i="2"/>
  <c r="I15" i="2"/>
  <c r="J13" i="2"/>
  <c r="I13" i="2"/>
  <c r="J11" i="2"/>
  <c r="I11" i="2"/>
  <c r="J9" i="2"/>
  <c r="I9" i="2"/>
  <c r="J7" i="2"/>
  <c r="I7" i="2"/>
  <c r="J5" i="2"/>
  <c r="I5" i="2"/>
  <c r="E10" i="7"/>
  <c r="E19" i="8"/>
  <c r="E22" i="8" s="1"/>
  <c r="E33" i="8" s="1"/>
  <c r="H13" i="8"/>
  <c r="I44" i="3"/>
  <c r="I46" i="3"/>
  <c r="J46" i="3"/>
  <c r="J44" i="3"/>
  <c r="J31" i="3"/>
  <c r="J30" i="3"/>
  <c r="J21" i="3"/>
  <c r="J20" i="3"/>
  <c r="J19" i="3"/>
  <c r="J18" i="3"/>
  <c r="J17" i="3"/>
  <c r="J16" i="3"/>
  <c r="J15" i="3"/>
  <c r="J14" i="3"/>
  <c r="J13" i="3"/>
  <c r="J12" i="3"/>
  <c r="J11" i="3"/>
  <c r="J9" i="3"/>
  <c r="J8" i="3"/>
  <c r="J6" i="3"/>
  <c r="I31" i="3"/>
  <c r="I30" i="3"/>
  <c r="I21" i="3"/>
  <c r="I20" i="3"/>
  <c r="I19" i="3"/>
  <c r="I18" i="3"/>
  <c r="I17" i="3"/>
  <c r="I16" i="3"/>
  <c r="I15" i="3"/>
  <c r="I14" i="3"/>
  <c r="I13" i="3"/>
  <c r="I12" i="3"/>
  <c r="I11" i="3"/>
  <c r="I9" i="3"/>
  <c r="D20" i="2"/>
  <c r="D26" i="2"/>
  <c r="D16" i="4"/>
  <c r="D10" i="7"/>
  <c r="D13" i="8" s="1"/>
  <c r="I6" i="3"/>
  <c r="M10" i="8"/>
  <c r="G31" i="8" l="1"/>
  <c r="G33" i="8"/>
  <c r="G34" i="8" s="1"/>
  <c r="H17" i="9"/>
  <c r="D28" i="6"/>
  <c r="G13" i="8"/>
  <c r="G38" i="5"/>
  <c r="I38" i="5" s="1"/>
  <c r="K26" i="8"/>
  <c r="G22" i="4"/>
  <c r="I22" i="4" s="1"/>
  <c r="H28" i="6"/>
  <c r="J28" i="6" s="1"/>
  <c r="J26" i="8"/>
  <c r="D28" i="2"/>
  <c r="D36" i="2" s="1"/>
  <c r="E36" i="6"/>
  <c r="E8" i="8"/>
  <c r="H8" i="8"/>
  <c r="D34" i="8"/>
  <c r="K29" i="8"/>
  <c r="E10" i="8"/>
  <c r="D10" i="8"/>
  <c r="D22" i="4"/>
  <c r="I14" i="6"/>
  <c r="G36" i="6"/>
  <c r="K14" i="6"/>
  <c r="K27" i="8"/>
  <c r="D11" i="8"/>
  <c r="D38" i="5"/>
  <c r="J28" i="9"/>
  <c r="G18" i="7"/>
  <c r="K18" i="7" s="1"/>
  <c r="I10" i="7"/>
  <c r="K10" i="7"/>
  <c r="D18" i="7"/>
  <c r="E13" i="8"/>
  <c r="J10" i="7"/>
  <c r="E18" i="7"/>
  <c r="J18" i="7" s="1"/>
  <c r="E6" i="8"/>
  <c r="I20" i="2"/>
  <c r="J26" i="2"/>
  <c r="K20" i="2"/>
  <c r="K19" i="8"/>
  <c r="K13" i="8"/>
  <c r="E11" i="8"/>
  <c r="G11" i="8"/>
  <c r="H16" i="4"/>
  <c r="I16" i="4"/>
  <c r="I25" i="8"/>
  <c r="K25" i="8"/>
  <c r="G10" i="8"/>
  <c r="I28" i="3"/>
  <c r="G8" i="8"/>
  <c r="D8" i="8"/>
  <c r="J25" i="8"/>
  <c r="J20" i="2"/>
  <c r="G28" i="2"/>
  <c r="K26" i="2"/>
  <c r="J19" i="8"/>
  <c r="I19" i="8"/>
  <c r="H28" i="2"/>
  <c r="E12" i="8"/>
  <c r="I28" i="5"/>
  <c r="K28" i="5"/>
  <c r="J28" i="5"/>
  <c r="H11" i="8"/>
  <c r="J28" i="3"/>
  <c r="K28" i="3"/>
  <c r="I13" i="8" l="1"/>
  <c r="G36" i="2"/>
  <c r="H12" i="8"/>
  <c r="J12" i="8" s="1"/>
  <c r="H36" i="6"/>
  <c r="J36" i="6" s="1"/>
  <c r="J8" i="8"/>
  <c r="I36" i="6"/>
  <c r="K16" i="4"/>
  <c r="H22" i="4"/>
  <c r="G12" i="8"/>
  <c r="K28" i="6"/>
  <c r="I28" i="6"/>
  <c r="J13" i="8"/>
  <c r="I11" i="8"/>
  <c r="I18" i="7"/>
  <c r="D12" i="8"/>
  <c r="D36" i="6"/>
  <c r="D6" i="8"/>
  <c r="K38" i="5"/>
  <c r="J38" i="5"/>
  <c r="H10" i="8"/>
  <c r="J10" i="8" s="1"/>
  <c r="J16" i="4"/>
  <c r="I33" i="8"/>
  <c r="E34" i="8"/>
  <c r="I34" i="8" s="1"/>
  <c r="I10" i="8"/>
  <c r="I8" i="8"/>
  <c r="K8" i="8"/>
  <c r="I28" i="2"/>
  <c r="G6" i="8"/>
  <c r="J28" i="2"/>
  <c r="H6" i="8"/>
  <c r="H36" i="2"/>
  <c r="H41" i="2" s="1"/>
  <c r="K28" i="2"/>
  <c r="J11" i="8"/>
  <c r="K11" i="8"/>
  <c r="I36" i="2" l="1"/>
  <c r="K12" i="8"/>
  <c r="K36" i="6"/>
  <c r="I12" i="8"/>
  <c r="K10" i="8"/>
  <c r="K22" i="4"/>
  <c r="J22" i="4"/>
  <c r="I6" i="8"/>
  <c r="K6" i="8"/>
  <c r="J6" i="8"/>
  <c r="K36" i="2"/>
  <c r="J36" i="2"/>
  <c r="G33" i="3"/>
  <c r="H33" i="3"/>
  <c r="D33" i="3"/>
  <c r="D9" i="8" s="1"/>
  <c r="D14" i="8" s="1"/>
  <c r="E33" i="3"/>
  <c r="E9" i="8" l="1"/>
  <c r="E14" i="8" s="1"/>
  <c r="E50" i="3"/>
  <c r="H50" i="3"/>
  <c r="D50" i="3"/>
  <c r="H9" i="8"/>
  <c r="H14" i="8" s="1"/>
  <c r="K33" i="3"/>
  <c r="D16" i="8"/>
  <c r="D37" i="8"/>
  <c r="J33" i="3"/>
  <c r="G9" i="8"/>
  <c r="G14" i="8" s="1"/>
  <c r="G37" i="8" s="1"/>
  <c r="G50" i="3"/>
  <c r="I33" i="3"/>
  <c r="J50" i="3" l="1"/>
  <c r="J9" i="8"/>
  <c r="C34" i="9"/>
  <c r="C35" i="9" s="1"/>
  <c r="H16" i="8"/>
  <c r="I50" i="3"/>
  <c r="J14" i="8"/>
  <c r="E37" i="8"/>
  <c r="I9" i="8"/>
  <c r="K50" i="3"/>
  <c r="K9" i="8"/>
  <c r="I14" i="8"/>
  <c r="G16" i="8"/>
  <c r="J6" i="9" s="1"/>
  <c r="K14" i="8"/>
  <c r="E16" i="8"/>
  <c r="J18" i="9" l="1"/>
  <c r="J31" i="9" s="1"/>
  <c r="I37" i="8"/>
  <c r="H37" i="8"/>
  <c r="J37" i="8" s="1"/>
  <c r="H33" i="8"/>
  <c r="H34" i="8" s="1"/>
  <c r="J34" i="8" l="1"/>
  <c r="K34" i="8"/>
  <c r="J33" i="8"/>
  <c r="K33" i="8"/>
  <c r="K37" i="8"/>
</calcChain>
</file>

<file path=xl/sharedStrings.xml><?xml version="1.0" encoding="utf-8"?>
<sst xmlns="http://schemas.openxmlformats.org/spreadsheetml/2006/main" count="389" uniqueCount="296">
  <si>
    <t>Summary</t>
  </si>
  <si>
    <t>Cost Centre</t>
  </si>
  <si>
    <t>Description</t>
  </si>
  <si>
    <t>Comments</t>
  </si>
  <si>
    <t>Parish Council Operating Income</t>
  </si>
  <si>
    <t>Administration Operating Costs</t>
  </si>
  <si>
    <t>Grants to other bodies</t>
  </si>
  <si>
    <t>Communications</t>
  </si>
  <si>
    <t>Fairground &amp; Cemetery</t>
  </si>
  <si>
    <t>Roads, Footpaths, Commons</t>
  </si>
  <si>
    <t>Parish Council Operating Costs</t>
  </si>
  <si>
    <t>Parish Council Operating income less Operating Costs. Transfer to/ (from) General Reserve</t>
  </si>
  <si>
    <t>Total income less expenditure</t>
  </si>
  <si>
    <t>Year End Transfers Between EMRs</t>
  </si>
  <si>
    <t>Notes</t>
  </si>
  <si>
    <t>Cemetery Extension</t>
  </si>
  <si>
    <t>Fairground Works</t>
  </si>
  <si>
    <t>Election Expenses</t>
  </si>
  <si>
    <t>Tennis courts</t>
  </si>
  <si>
    <t>Roads, Footpaths &amp; Commons</t>
  </si>
  <si>
    <t>Neighbourhood Plan</t>
  </si>
  <si>
    <t>Total Transfers</t>
  </si>
  <si>
    <t>Total Operating Reserves</t>
  </si>
  <si>
    <t>SMPC Forecast Community Infrastructure Reserves</t>
  </si>
  <si>
    <t>CIL 21/22</t>
  </si>
  <si>
    <t>Community Infrastructure Reserves</t>
  </si>
  <si>
    <t>Total Reserves</t>
  </si>
  <si>
    <t>Total operating costs for the year</t>
  </si>
  <si>
    <t>100 Income</t>
  </si>
  <si>
    <t>Account code</t>
  </si>
  <si>
    <t>Account description</t>
  </si>
  <si>
    <t>Admin Income</t>
  </si>
  <si>
    <t>Wayleave Rental</t>
  </si>
  <si>
    <t>Precept</t>
  </si>
  <si>
    <t>Bank Interest</t>
  </si>
  <si>
    <t>Grants received</t>
  </si>
  <si>
    <t>Cemetery Fees - Burial Plot</t>
  </si>
  <si>
    <t>Cemetery Fees - Cremation Plot</t>
  </si>
  <si>
    <t>Cemetery Fees - Memorial</t>
  </si>
  <si>
    <t>Total Cemetery</t>
  </si>
  <si>
    <t>Fairground Hire Fee</t>
  </si>
  <si>
    <t>Fairground Hire Fee - Annual</t>
  </si>
  <si>
    <t>Fairground Hire - Tennis Courts</t>
  </si>
  <si>
    <t>Total Fairground</t>
  </si>
  <si>
    <t>Parish Council Operating income</t>
  </si>
  <si>
    <t>Total Parish Council Income</t>
  </si>
  <si>
    <t>CHECK</t>
  </si>
  <si>
    <t>Staff Costs</t>
  </si>
  <si>
    <t>Training</t>
  </si>
  <si>
    <t>Chairman's Allowance</t>
  </si>
  <si>
    <t>Election expenses</t>
  </si>
  <si>
    <t>Audit Fee</t>
  </si>
  <si>
    <t>Admin Expenses</t>
  </si>
  <si>
    <t>Insurance costs</t>
  </si>
  <si>
    <t>Annual Subscription</t>
  </si>
  <si>
    <t>Hall Rental</t>
  </si>
  <si>
    <t>Office - Rent, Rates, Utility</t>
  </si>
  <si>
    <t>Bank Charges</t>
  </si>
  <si>
    <t>Remembrance Day Commemoration</t>
  </si>
  <si>
    <t xml:space="preserve">Tennis Court Clubspark </t>
  </si>
  <si>
    <t>Community Award</t>
  </si>
  <si>
    <t>Willink Leisure Centre</t>
  </si>
  <si>
    <t>Grants</t>
  </si>
  <si>
    <t>Total Administration Costs</t>
  </si>
  <si>
    <t>104 Communications</t>
  </si>
  <si>
    <t>Software / web design</t>
  </si>
  <si>
    <t>Web hosting</t>
  </si>
  <si>
    <t>Newsletters</t>
  </si>
  <si>
    <t>Community Forums</t>
  </si>
  <si>
    <t>301 Fairground &amp; Cemetery</t>
  </si>
  <si>
    <t>Fairground grass cutting</t>
  </si>
  <si>
    <t>Fairground maintenance</t>
  </si>
  <si>
    <t>Dog bin waste disposal</t>
  </si>
  <si>
    <t>Play Equipment Maintenance</t>
  </si>
  <si>
    <t>Fairground lease rental</t>
  </si>
  <si>
    <t>Rent review took place in September 2020 and new rate is £2701. This will next be reviewed when the current lease expires in 2027</t>
  </si>
  <si>
    <t>Cemetery grass cutting</t>
  </si>
  <si>
    <t>Cemetery general maintenance</t>
  </si>
  <si>
    <t>Cemetery lease rental</t>
  </si>
  <si>
    <t>Pillbox general maintenance</t>
  </si>
  <si>
    <t>302 Roads, Footpaths &amp; Commons</t>
  </si>
  <si>
    <t>Roads</t>
  </si>
  <si>
    <t>Footpaths</t>
  </si>
  <si>
    <t>Commons</t>
  </si>
  <si>
    <t>RFC Special Projects</t>
  </si>
  <si>
    <t>West End Road Car Park</t>
  </si>
  <si>
    <t>805 Community Projects</t>
  </si>
  <si>
    <t>Community Projects</t>
  </si>
  <si>
    <t>Climate and Environment</t>
  </si>
  <si>
    <t>Queen's Platinum Jubilee</t>
  </si>
  <si>
    <t xml:space="preserve">Community Grant </t>
  </si>
  <si>
    <t>Fairground Tennis Courts - Annual</t>
  </si>
  <si>
    <t>Pension Admin Charge</t>
  </si>
  <si>
    <t>EMR Election Expenses</t>
  </si>
  <si>
    <t>EMR CIL expenditure</t>
  </si>
  <si>
    <t>EMR Spend</t>
  </si>
  <si>
    <t>EMR Website Spend</t>
  </si>
  <si>
    <t>Total Communications Costs</t>
  </si>
  <si>
    <t>Fairground &amp; Cemetery Operating Costs</t>
  </si>
  <si>
    <t>Communications Operating Costs</t>
  </si>
  <si>
    <t>Total Fairground &amp; Cemetery Costs</t>
  </si>
  <si>
    <t>EMR Cemetery Extension</t>
  </si>
  <si>
    <t>EMR Fairground Maintenance</t>
  </si>
  <si>
    <t xml:space="preserve">Climate and Environment </t>
  </si>
  <si>
    <t>EMR Income</t>
  </si>
  <si>
    <t>Administration</t>
  </si>
  <si>
    <t>Fairground and Cemetery</t>
  </si>
  <si>
    <t>Total Roads, Footpaths &amp; Commons Costs</t>
  </si>
  <si>
    <t>Roads, Footpaths &amp; Commons Operational Costs</t>
  </si>
  <si>
    <t>Community Projects Operating Costs</t>
  </si>
  <si>
    <t>Total Community Projects Costs</t>
  </si>
  <si>
    <t>EMR Income less Spend</t>
  </si>
  <si>
    <t>EMR Community Infrastructure Levy</t>
  </si>
  <si>
    <t>Roads, Footpaths and Commons</t>
  </si>
  <si>
    <t>Donations</t>
  </si>
  <si>
    <t xml:space="preserve">EMR Neighbourhood Plan </t>
  </si>
  <si>
    <t>Windmill Common</t>
  </si>
  <si>
    <t xml:space="preserve">Community Projects </t>
  </si>
  <si>
    <t>Transfers to / (from) reserves</t>
  </si>
  <si>
    <t>EMR Tennis Courts</t>
  </si>
  <si>
    <t>EMR Community Grant</t>
  </si>
  <si>
    <t>CIL 22/23</t>
  </si>
  <si>
    <t>TOTAL</t>
  </si>
  <si>
    <t>EMR Climate and Environment</t>
  </si>
  <si>
    <t>CIL EMRs</t>
  </si>
  <si>
    <t>Income 1106</t>
  </si>
  <si>
    <t>Date</t>
  </si>
  <si>
    <t>Detail</t>
  </si>
  <si>
    <t>Approval Details</t>
  </si>
  <si>
    <t>Project Detail</t>
  </si>
  <si>
    <t>PO</t>
  </si>
  <si>
    <t>EMR 334 21/22</t>
  </si>
  <si>
    <t>FC 13/10/2022</t>
  </si>
  <si>
    <t xml:space="preserve">Cost of Wreath and PA </t>
  </si>
  <si>
    <t>Assumes another round of Community Grants an adjustment has been made in Reserves</t>
  </si>
  <si>
    <t>EMR Youth Club Donated Funds</t>
  </si>
  <si>
    <t>Budgeted Opening Balance if all Approved Amounts are Paid</t>
  </si>
  <si>
    <t>Actual Rialtas CIL EMR Opening Balances</t>
  </si>
  <si>
    <t>Actual Rialtas CIL EMR Year End Closing Balance</t>
  </si>
  <si>
    <t>See sheet 101 Admin for details</t>
  </si>
  <si>
    <t xml:space="preserve">See sheet 100 Income for details. </t>
  </si>
  <si>
    <t>See sheet 104 Communications for details</t>
  </si>
  <si>
    <t>See sheet 301 Fairground &amp; Cemetery for details</t>
  </si>
  <si>
    <t>See sheet 302 Roads, Footpaths Commons for details</t>
  </si>
  <si>
    <t>See sheet 805 Community Projects for details</t>
  </si>
  <si>
    <t>See CIL income sheet 100 Income</t>
  </si>
  <si>
    <t>See Donations income sheet 100 Income</t>
  </si>
  <si>
    <t>CIL &amp; other EMR spending sheet 101 Admin</t>
  </si>
  <si>
    <t>EMR spending sheet 104 Communications</t>
  </si>
  <si>
    <t>EMR spending sheet 301 Fairground and Cemetery</t>
  </si>
  <si>
    <t>EMR spending sheet 302 Roads, Footpaths and Commons</t>
  </si>
  <si>
    <t>EMR spending sheet 805 Community Projects</t>
  </si>
  <si>
    <t>Red = affects other aspects of spreadsheet</t>
  </si>
  <si>
    <t>2024/25 Budget</t>
  </si>
  <si>
    <t>Defibrilators</t>
  </si>
  <si>
    <t>ASWC/CSW signs</t>
  </si>
  <si>
    <t>Unbudgeted Expenditure</t>
  </si>
  <si>
    <t>101 Administration</t>
  </si>
  <si>
    <t>Community Infrastructure Levy</t>
  </si>
  <si>
    <t>CIL 23/24</t>
  </si>
  <si>
    <t>Mortimer to Burghfield Cycleway and Footpath</t>
  </si>
  <si>
    <t xml:space="preserve"> Transfers Between EMRs</t>
  </si>
  <si>
    <t>EMR 335 22/23</t>
  </si>
  <si>
    <t>EMR cleared in 2023/24 with a donation to 1st Mortimer Scouts.</t>
  </si>
  <si>
    <t>Fee for Mortimer Tennis Club + 5%</t>
  </si>
  <si>
    <t>Windmill Common Tree Work</t>
  </si>
  <si>
    <r>
      <t>This spreadsheet tracks CIL income and expenditure for each Financial Year, taking into account</t>
    </r>
    <r>
      <rPr>
        <sz val="12"/>
        <color rgb="FF0070C0"/>
        <rFont val="Calibri"/>
        <family val="2"/>
      </rPr>
      <t xml:space="preserve"> </t>
    </r>
    <r>
      <rPr>
        <b/>
        <sz val="12"/>
        <rFont val="Calibri"/>
        <family val="2"/>
      </rPr>
      <t>actual</t>
    </r>
    <r>
      <rPr>
        <sz val="12"/>
        <rFont val="Calibri"/>
        <family val="2"/>
      </rPr>
      <t xml:space="preserve"> </t>
    </r>
    <r>
      <rPr>
        <sz val="12"/>
        <color rgb="FF000000"/>
        <rFont val="Calibri"/>
        <family val="2"/>
      </rPr>
      <t>and</t>
    </r>
    <r>
      <rPr>
        <sz val="12"/>
        <color theme="5" tint="-0.249977111117893"/>
        <rFont val="Calibri"/>
        <family val="2"/>
      </rPr>
      <t xml:space="preserve"> </t>
    </r>
    <r>
      <rPr>
        <b/>
        <sz val="12"/>
        <color theme="4" tint="-0.249977111117893"/>
        <rFont val="Calibri"/>
        <family val="2"/>
      </rPr>
      <t>budgeted</t>
    </r>
    <r>
      <rPr>
        <sz val="12"/>
        <color rgb="FF000000"/>
        <rFont val="Calibri"/>
        <family val="2"/>
      </rPr>
      <t xml:space="preserve"> amounts.</t>
    </r>
  </si>
  <si>
    <t>101 Admin</t>
  </si>
  <si>
    <t>EMR Cycleway and Footpath</t>
  </si>
  <si>
    <t>Scarecrow Trail</t>
  </si>
  <si>
    <t>Community Competition</t>
  </si>
  <si>
    <t>CCTV 4G Annual Charge</t>
  </si>
  <si>
    <t>No current EMR</t>
  </si>
  <si>
    <t>New code</t>
  </si>
  <si>
    <t>SMPC Budget 2025/26</t>
  </si>
  <si>
    <t>SMPC Committee Budgets 2025/26</t>
  </si>
  <si>
    <t>SMPC Forecast Operating Reserves 2025/26</t>
  </si>
  <si>
    <t>2023/24 Actual</t>
  </si>
  <si>
    <t>YTD Figures 30/09/2024</t>
  </si>
  <si>
    <t>2024/25 Forecast</t>
  </si>
  <si>
    <t>2025/26 Budget</t>
  </si>
  <si>
    <t>2024/25 Forecast vs 2024/25 Budget</t>
  </si>
  <si>
    <t>2025/26 Budget vs 2024/25 Budget</t>
  </si>
  <si>
    <t>2025/26 Budget vs 2024/25 Forecast</t>
  </si>
  <si>
    <t>New EMR Set Up During 2024/25</t>
  </si>
  <si>
    <t>Forecast Spend directly from EMRs for 2024/25</t>
  </si>
  <si>
    <t>Notes re 2025/26 Budget Figures</t>
  </si>
  <si>
    <t>Neighbourhood Development Plan</t>
  </si>
  <si>
    <t>CIL Expenditure</t>
  </si>
  <si>
    <t>EMR 336 23/24</t>
  </si>
  <si>
    <t>22/01422/RESMAJ (2 - 2B) Land South Of Tower Gardens</t>
  </si>
  <si>
    <t>23/00297/RESMAJ (3 - 19/00981/OUTMAJ ph3)  Land South Of Tower Gardens</t>
  </si>
  <si>
    <t xml:space="preserve">Expenditure Approved </t>
  </si>
  <si>
    <t>EMR Spend from 23/24 Accruals</t>
  </si>
  <si>
    <t>CIL 24/25</t>
  </si>
  <si>
    <t>Forecast CIL Expenditure</t>
  </si>
  <si>
    <t>EMR Operating Reserves</t>
  </si>
  <si>
    <t>From Rialtas Balance Sheet 01/04/2024</t>
  </si>
  <si>
    <t>EMR Spend in 2024/25  from 23/24 Accruals</t>
  </si>
  <si>
    <t>Brewery Common Recharge</t>
  </si>
  <si>
    <t>Accrual  23/24 Vic Road works</t>
  </si>
  <si>
    <t>It is assumed that the balance held for the conservation boards will have been spent in 2024/25.</t>
  </si>
  <si>
    <t>23/00297/RESMAJ (3 - 19/00981/OUTMAJ ph3) Land South Of Tower Gardens</t>
  </si>
  <si>
    <t>23/02392/RESMAJ (3 - 19/00981 ph3 (S73)) Land South Of Tower Gardens</t>
  </si>
  <si>
    <t xml:space="preserve">Assumes 5 burials - adult residents + 5% increase in fees </t>
  </si>
  <si>
    <t xml:space="preserve">Assumes 6 cremations - adult residents + 5% increase in fees </t>
  </si>
  <si>
    <t>MCC assumes same cost for 24/25</t>
  </si>
  <si>
    <t>Forecast public use of court hire 2024/25 + 5%</t>
  </si>
  <si>
    <t>Assumes memorials for 4 burial  &amp; 6 cremations + 5% increase in fees</t>
  </si>
  <si>
    <t>Assumes 4 full commercial days hire, 4 half days, Fit4Sports and  Little Kickers 33 weeks each + 5% increase in fees</t>
  </si>
  <si>
    <t>Maintained at 2024/25 budget level</t>
  </si>
  <si>
    <t>Provides for 12 x £3 Lloyds charge, 4 x £40 bank charge and 2 x £28 CHAP charges</t>
  </si>
  <si>
    <t>EMR held - see below.</t>
  </si>
  <si>
    <t>Amount allowed for the purchase and installation of  fixed speeding devices</t>
  </si>
  <si>
    <t>MOR006</t>
  </si>
  <si>
    <t>Amount Paid to Date (4930/EMR 320)  or Committed against a PO</t>
  </si>
  <si>
    <t>2386 + additional works</t>
  </si>
  <si>
    <t>Expenditure  Likely to be Spent</t>
  </si>
  <si>
    <t>Fairground Footpath &amp; Utility Square</t>
  </si>
  <si>
    <t>See sheet CIL (Red = figure affected by CIL  tab)</t>
  </si>
  <si>
    <t>EMR held for donating to community organisations as per the Community Grant Fund Policy</t>
  </si>
  <si>
    <t>EMR balance for landscaping</t>
  </si>
  <si>
    <t>EMR balance for cycleway</t>
  </si>
  <si>
    <t>EMR held for conservation boards expected to be spent in 2024/25</t>
  </si>
  <si>
    <t>Covers accounts software and general admin expenses and allows for an increase in 1) IT Support costs  of £780 2) payroll software of £156 and provides £750.00 for the purchase of equipment for remote meetings</t>
  </si>
  <si>
    <t xml:space="preserve">Allows for a 2% increase in costs for 2025/26 &amp; includes: NALC; BALC; SLCC x 2; ICCM; Parish Online; and CCB </t>
  </si>
  <si>
    <t>Provides for a 5% increase for 2025/26</t>
  </si>
  <si>
    <t>Allows for a 5% increase in costs for 2025/26 &amp; includes Council meeting hall hire and 4 x NAG meetings instead of 2</t>
  </si>
  <si>
    <t>EMR held - see below</t>
  </si>
  <si>
    <t>New EMR set up in 2024/25. No expenditure is predicted for 2025/26.</t>
  </si>
  <si>
    <t>Fairground fence*</t>
  </si>
  <si>
    <t>* £17,500 has been allowed for replacing the Fairground fence with galvanised Estate Railings. A quote for £14,000 was received in October 2024 so extra allowed for increased costs and provision of welfare facilities and waste removal which weren't included in the original quote.</t>
  </si>
  <si>
    <t>**£22,500 has been allowed for the resurfacing of the Hip Hop (Gyro Spiral), Titan Swing &amp; Super Nova. The resurfacing allowed for is the most expensive but is guranteed for 5 years and expected to last 15+ years.</t>
  </si>
  <si>
    <t>Operating Reserve</t>
  </si>
  <si>
    <t>General Reserves</t>
  </si>
  <si>
    <t>Calculation for Operating Reserve</t>
  </si>
  <si>
    <t>25% of operating costs</t>
  </si>
  <si>
    <t>Predicted General Reserves at 31/03/2025</t>
  </si>
  <si>
    <t>25% of operating costs rounded up to the nearest £10k</t>
  </si>
  <si>
    <t>New EMR set up in 2024/25. Operating Reserves are held at 25% of annual operating costs (or 3 months) rounded up to the nearest 10k - see C34-C36</t>
  </si>
  <si>
    <t>EMR held for elections</t>
  </si>
  <si>
    <t>EMR held  for tennis court resuracing. It is estimated that £50k will be needed by March 2029</t>
  </si>
  <si>
    <t>EMR held of £7,72 for contribution to WBC for Brewery Common tree work - expected to be spent in 2024/25</t>
  </si>
  <si>
    <t>Funds from unspent 2024/25 Budget to be used for Windmill Common maintenance</t>
  </si>
  <si>
    <t>EMR held for Greening Campaign and other relevant projects</t>
  </si>
  <si>
    <t>Usual annual payment</t>
  </si>
  <si>
    <t>The Precept figure is the income needed to balance the difference between the operating income and costs giving a £0 in G16 on the Budget Summary</t>
  </si>
  <si>
    <t>Average monthly interest for the first half of 2024/25 was £2,500. Assumed an average of £2,000 a month bearing in mind changes in interest rates and funds being drawn down</t>
  </si>
  <si>
    <t>Annual administration cost paid monthly</t>
  </si>
  <si>
    <t>Maintained at 2024/25 cost</t>
  </si>
  <si>
    <t>Annual office rent of £3,500 is fixed until 08/08/2025. Also allows for uplift on costs for mobile phones and WiFi hotpsot and Gigaclear and VOIP costs</t>
  </si>
  <si>
    <t>Allows for a 5% increase in costs for 2025/26 &amp; includes: LTA - £147; CIA (gate maintenance, cloud cost and data contract costs) - £771; Stripe charges £240 (average £20.00 a month), emergency call out fee of £86.00</t>
  </si>
  <si>
    <t>Allows for a 5% increase in costs for 2025/26</t>
  </si>
  <si>
    <t>Community art competition linked to the Annual Parish Meeting. Number and amount of prizes will be dependent on the number of entrants. Maintained at 2024/25 level</t>
  </si>
  <si>
    <t>Allows for a grant to St Marys Church. WBC have said they will not be asking for a library contribution in 2025/26</t>
  </si>
  <si>
    <t>EMR held for election expenses. It is assumed that there will not be an election until May 2027</t>
  </si>
  <si>
    <t>Allows for up to 4 x quarterly reviews and updates of website accessibility in line with the Government Design System</t>
  </si>
  <si>
    <t>Provides for hosting, DNS &amp; FB postings and a SSL certificate approx £165.00</t>
  </si>
  <si>
    <t>Budget maintained at 2024/25 rate</t>
  </si>
  <si>
    <r>
      <t>Current contract includes 12 x monthly fees based on 19 "fortnightly visits" which address a range of activities on an as required basis. SCS work towards defined quality outcomes rather than defined quantity inputs, flexing their work schedule accordingly, to delivery well maintained and attractive grounds at all times of the year. Allows for 2 x one off costs for grazing area cuts at £149.92 per cut</t>
    </r>
    <r>
      <rPr>
        <sz val="10"/>
        <color rgb="FFFF0000"/>
        <rFont val="Arial"/>
        <family val="2"/>
      </rPr>
      <t xml:space="preserve">. </t>
    </r>
    <r>
      <rPr>
        <sz val="10"/>
        <rFont val="Arial"/>
        <family val="2"/>
      </rPr>
      <t>Allows for a  5% increase in costs for Jan, Feb &amp; March 2026</t>
    </r>
  </si>
  <si>
    <t>£17,750 has been allowed for: equipment manitenace; annual tennis court clean; electricity; waste collection, remedial works, Christmas tree; water charge; and sundries (i.e. refuse sacks, tools, seed, weedkiller, locks). An additional £17,500 of CIL funds - see CIL J16 - has been allowed for replacing the Fairground fence with galvanised Estate Railings</t>
  </si>
  <si>
    <t>Allows for a  5% increase on 2024/25 forecast costs</t>
  </si>
  <si>
    <t>£10,000 has been allowed for  'normal' level of preventive and reactive maintenance and inspection charges. An additional £22,500 of CIL funds - see CIL J18 - has been allowed for the resurfacing of the Hip Hop (Gyro Spiral), Titan Swing &amp; Super Nova</t>
  </si>
  <si>
    <t>Annual charge for 4G for CCTV - allows for a 5% increase on 2024/25 budgeted costs.Does not allow anything for emergency call out charge or associated hourly labour charge which would be circa £150 and £125 respectively</t>
  </si>
  <si>
    <r>
      <t xml:space="preserve">Current contract includes 16 x grass cut, 3 x weed applications &amp; 2 x hedge trims.  The current amount being charged has been doubled to allow for the grounds maintenance of the cemetery extension                                                                                        </t>
    </r>
    <r>
      <rPr>
        <sz val="10"/>
        <color rgb="FFFF0000"/>
        <rFont val="Arial"/>
        <family val="2"/>
      </rPr>
      <t xml:space="preserve">  </t>
    </r>
  </si>
  <si>
    <t xml:space="preserve"> 2025/26 level  incresaed to allow for any additional maintenance work in the cemetery extension</t>
  </si>
  <si>
    <t>Allows for 1 x tidy-up cut at the end of winter/beginning of spring, 4 scheduled maintenance cuts and 2 x on demand cuts as requested</t>
  </si>
  <si>
    <t>It is assumed that the cemetery extension will be finished early 2025/26</t>
  </si>
  <si>
    <t>An EMR of £47,666 is held for the resurfacing of the courts. It was a stipulation of a Sport England grant, given for the previous court renovations, that money should be saved for this purpose. It is estimated that £50,000 will be required but no expenditure is predicted for 2025/26</t>
  </si>
  <si>
    <t>The Street - repainting white lines</t>
  </si>
  <si>
    <t>Amount allowed for the purchase of tools for volunteers working on the commons</t>
  </si>
  <si>
    <t>Ongoing maintenance of fence and border</t>
  </si>
  <si>
    <t>It is assumed that WBC will have invoiced the recharge of £7,727 for the Brewery Common tree works by the start of the FY 2025/26</t>
  </si>
  <si>
    <t>EMR held: currently no preicted spend for 2025/26</t>
  </si>
  <si>
    <t>EMR held</t>
  </si>
  <si>
    <t xml:space="preserve"> Tr/F from General Reserves to EMRs </t>
  </si>
  <si>
    <t>EMR held for costs: policy text (£5k); document text (£15k; Reg 14 (£2.5k); contingency (£2.5k)</t>
  </si>
  <si>
    <t>Officer &amp; Councillor training: increased for 2025/26 to allow for 2 x CiLCA fees</t>
  </si>
  <si>
    <t>Allows for 1) the new Employers NIC rate of 15% on earning above £5,000 2) Employers pension contribution, where applicable, at 3% on earnings above £6,240 3) an annual pay award of £1,290 for all staff 4) a SCP rise for the officers 5) overtime for CiLCA training</t>
  </si>
  <si>
    <t>EMR held for costs associated with the Neighbourhod Plan.Any additional funds needed will be approved by Council and transferred from General Reserves</t>
  </si>
  <si>
    <t>No more work is anticipated for Windmill Common but it was agreed to move £5,000 into an EMR for future common maintenance work.</t>
  </si>
  <si>
    <t>An EMR of £5,000 to be set up with some unspent funds from 2024/25 for Windmill Common works. Expenditure is dependent on the management plan for Windmill Common</t>
  </si>
  <si>
    <t>3 x 2000 newsletters based on the price of Autumn 2024 newsletter of £680</t>
  </si>
  <si>
    <t>Community Committee</t>
  </si>
  <si>
    <t>Budget for Community Committee being proposed as part of committee restructuring</t>
  </si>
  <si>
    <t>Resurfacing of play equipment**</t>
  </si>
  <si>
    <t>Mortimer to Burghfield Cycleway and Footpath***</t>
  </si>
  <si>
    <t>***£187,000 has been allowed for transferring into the Mortimer to Burghfield Cycleway and Footpath EMR</t>
  </si>
  <si>
    <t>Resurfacing MUGA****</t>
  </si>
  <si>
    <t>Budgeted Year End Closing Balance if figures at "J14" &amp; "L14" are spent</t>
  </si>
  <si>
    <t>PLWB Loan Repayment</t>
  </si>
  <si>
    <t>Increases by RPI annually. Previously WBC have used the September's figure so assumes 2.7% (September 2024 figure)</t>
  </si>
  <si>
    <t>Reserved for loan repaymnets if necessary</t>
  </si>
  <si>
    <t>Predicted Windmill Road, King Street, Four Houses Corner and miscellaneous</t>
  </si>
  <si>
    <t xml:space="preserve">****£15,000 has been allowed for overskimmimg the MUGA with 20mm or tarmac as there are some signs of wear </t>
  </si>
  <si>
    <t>Assumes £17,500 for the Fairground fence and £22,500 for resurfacing of the Hip Hop (Gyro Spiral), Super Nova and Titan, £187,000 for the Cycleway, £15,000 for overskimmimg the MUGA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</si>
</sst>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_(* #,##0.00_);_(* \(#,##0.00\);_(* &quot;-&quot;??_);_(@_)"/>
    <numFmt numFmtId="165" formatCode="_(* #,##0_);_(* \(#,##0\);_(* &quot;-&quot;??_);_(@_)"/>
    <numFmt numFmtId="166" formatCode="&quot;£&quot;#,##0.00"/>
    <numFmt numFmtId="167" formatCode="&quot;£&quot;#,##0"/>
  </numFmts>
  <fonts count="8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name val="Arial"/>
      <family val="2"/>
    </font>
    <font>
      <b/>
      <sz val="12"/>
      <name val="Arial"/>
      <family val="2"/>
    </font>
    <font>
      <b/>
      <sz val="16"/>
      <color rgb="FF000000"/>
      <name val="Arial"/>
      <family val="2"/>
    </font>
    <font>
      <b/>
      <sz val="12"/>
      <color rgb="FF000000"/>
      <name val="Arial"/>
      <family val="2"/>
    </font>
    <font>
      <sz val="12"/>
      <color rgb="FF000000"/>
      <name val="Arial"/>
      <family val="2"/>
    </font>
    <font>
      <sz val="8"/>
      <name val="Calibri"/>
      <family val="2"/>
      <scheme val="minor"/>
    </font>
    <font>
      <sz val="12"/>
      <color theme="1"/>
      <name val="Arial"/>
      <family val="2"/>
    </font>
    <font>
      <u/>
      <sz val="12"/>
      <color theme="10"/>
      <name val="Calibri"/>
      <family val="2"/>
      <scheme val="minor"/>
    </font>
    <font>
      <u/>
      <sz val="12"/>
      <color theme="11"/>
      <name val="Calibri"/>
      <family val="2"/>
      <scheme val="minor"/>
    </font>
    <font>
      <sz val="12"/>
      <color indexed="8"/>
      <name val="Calibri"/>
      <family val="2"/>
    </font>
    <font>
      <b/>
      <sz val="12"/>
      <color indexed="8"/>
      <name val="Arial"/>
      <family val="2"/>
    </font>
    <font>
      <sz val="12"/>
      <color indexed="8"/>
      <name val="Arial"/>
      <family val="2"/>
    </font>
    <font>
      <b/>
      <sz val="12"/>
      <color theme="1"/>
      <name val="Arial"/>
      <family val="2"/>
    </font>
    <font>
      <b/>
      <i/>
      <sz val="12"/>
      <color rgb="FF000000"/>
      <name val="Arial"/>
      <family val="2"/>
    </font>
    <font>
      <sz val="12"/>
      <color rgb="FFFF0000"/>
      <name val="Arial"/>
      <family val="2"/>
    </font>
    <font>
      <b/>
      <sz val="14"/>
      <color theme="1"/>
      <name val="Arial"/>
      <family val="2"/>
    </font>
    <font>
      <b/>
      <sz val="12"/>
      <color rgb="FFFF0000"/>
      <name val="Arial"/>
      <family val="2"/>
    </font>
    <font>
      <sz val="12"/>
      <color rgb="FFFF0000"/>
      <name val="Calibri"/>
      <family val="2"/>
      <scheme val="minor"/>
    </font>
    <font>
      <sz val="12"/>
      <color rgb="FF00B050"/>
      <name val="Arial"/>
      <family val="2"/>
    </font>
    <font>
      <sz val="12"/>
      <color theme="9" tint="-0.249977111117893"/>
      <name val="Arial"/>
      <family val="2"/>
    </font>
    <font>
      <sz val="12"/>
      <color theme="9" tint="-0.249977111117893"/>
      <name val="Calibri"/>
      <family val="2"/>
      <scheme val="minor"/>
    </font>
    <font>
      <b/>
      <sz val="16"/>
      <name val="Arial"/>
      <family val="2"/>
    </font>
    <font>
      <b/>
      <i/>
      <sz val="12"/>
      <name val="Arial"/>
      <family val="2"/>
    </font>
    <font>
      <sz val="10"/>
      <name val="Arial"/>
      <family val="2"/>
    </font>
    <font>
      <b/>
      <sz val="12"/>
      <color rgb="FFFF0000"/>
      <name val="Calibri"/>
      <family val="2"/>
      <scheme val="minor"/>
    </font>
    <font>
      <b/>
      <sz val="12"/>
      <color rgb="FF00B050"/>
      <name val="Arial"/>
      <family val="2"/>
    </font>
    <font>
      <b/>
      <sz val="12"/>
      <color rgb="FF0070C0"/>
      <name val="Arial"/>
      <family val="2"/>
    </font>
    <font>
      <sz val="12"/>
      <color rgb="FF0070C0"/>
      <name val="Arial"/>
      <family val="2"/>
    </font>
    <font>
      <sz val="12"/>
      <name val="Calibri"/>
      <family val="2"/>
      <scheme val="minor"/>
    </font>
    <font>
      <b/>
      <sz val="12"/>
      <color theme="0" tint="-0.249977111117893"/>
      <name val="Arial"/>
      <family val="2"/>
    </font>
    <font>
      <sz val="12"/>
      <color theme="0" tint="-0.249977111117893"/>
      <name val="Arial"/>
      <family val="2"/>
    </font>
    <font>
      <sz val="12"/>
      <color theme="0" tint="-0.249977111117893"/>
      <name val="Calibri"/>
      <family val="2"/>
      <scheme val="minor"/>
    </font>
    <font>
      <b/>
      <sz val="16"/>
      <color rgb="FF000000"/>
      <name val="Calibri"/>
      <family val="2"/>
    </font>
    <font>
      <b/>
      <sz val="12"/>
      <color theme="1"/>
      <name val="Calibri"/>
      <family val="2"/>
      <charset val="238"/>
      <scheme val="minor"/>
    </font>
    <font>
      <sz val="12"/>
      <color rgb="FF0070C0"/>
      <name val="Calibri"/>
      <family val="2"/>
      <scheme val="minor"/>
    </font>
    <font>
      <sz val="12"/>
      <color rgb="FF00B050"/>
      <name val="Calibri"/>
      <family val="2"/>
      <scheme val="minor"/>
    </font>
    <font>
      <b/>
      <sz val="12"/>
      <color theme="0" tint="-0.34998626667073579"/>
      <name val="Arial"/>
      <family val="2"/>
    </font>
    <font>
      <sz val="12"/>
      <color theme="0" tint="-0.34998626667073579"/>
      <name val="Arial"/>
      <family val="2"/>
    </font>
    <font>
      <sz val="12"/>
      <color theme="0" tint="-0.34998626667073579"/>
      <name val="Calibri"/>
      <family val="2"/>
      <scheme val="minor"/>
    </font>
    <font>
      <sz val="12"/>
      <color rgb="FF000000"/>
      <name val="Calibri"/>
      <family val="2"/>
    </font>
    <font>
      <sz val="12"/>
      <color rgb="FF0070C0"/>
      <name val="Calibri"/>
      <family val="2"/>
    </font>
    <font>
      <sz val="11"/>
      <color rgb="FF242424"/>
      <name val="Calibri"/>
      <family val="2"/>
      <scheme val="minor"/>
    </font>
    <font>
      <sz val="12"/>
      <color theme="4"/>
      <name val="Calibri"/>
      <family val="2"/>
      <scheme val="minor"/>
    </font>
    <font>
      <sz val="12"/>
      <color theme="5"/>
      <name val="Calibri"/>
      <family val="2"/>
      <scheme val="minor"/>
    </font>
    <font>
      <b/>
      <sz val="12"/>
      <color theme="5"/>
      <name val="Calibri"/>
      <family val="2"/>
      <scheme val="minor"/>
    </font>
    <font>
      <b/>
      <sz val="12"/>
      <name val="Calibri"/>
      <family val="2"/>
      <scheme val="minor"/>
    </font>
    <font>
      <b/>
      <sz val="12"/>
      <name val="Calibri"/>
      <family val="2"/>
    </font>
    <font>
      <sz val="12"/>
      <name val="Calibri"/>
      <family val="2"/>
    </font>
    <font>
      <sz val="12"/>
      <color theme="5" tint="-0.249977111117893"/>
      <name val="Calibri"/>
      <family val="2"/>
    </font>
    <font>
      <sz val="12"/>
      <color theme="4" tint="-0.249977111117893"/>
      <name val="Calibri"/>
      <family val="2"/>
      <scheme val="minor"/>
    </font>
    <font>
      <b/>
      <sz val="12"/>
      <color theme="4" tint="-0.249977111117893"/>
      <name val="Calibri"/>
      <family val="2"/>
      <scheme val="minor"/>
    </font>
    <font>
      <b/>
      <sz val="12"/>
      <color theme="4" tint="-0.249977111117893"/>
      <name val="Calibri"/>
      <family val="2"/>
      <charset val="238"/>
      <scheme val="minor"/>
    </font>
    <font>
      <b/>
      <sz val="16"/>
      <color theme="9"/>
      <name val="Arial"/>
      <family val="2"/>
    </font>
    <font>
      <b/>
      <sz val="12"/>
      <color theme="4" tint="-0.249977111117893"/>
      <name val="Calibri"/>
      <family val="2"/>
    </font>
    <font>
      <b/>
      <sz val="14"/>
      <name val="Arial"/>
      <family val="2"/>
    </font>
    <font>
      <b/>
      <sz val="12"/>
      <color theme="1"/>
      <name val="Calibri"/>
      <family val="2"/>
      <scheme val="minor"/>
    </font>
    <font>
      <b/>
      <sz val="8"/>
      <name val="Arial"/>
      <family val="2"/>
    </font>
    <font>
      <b/>
      <sz val="8"/>
      <color rgb="FFFF0000"/>
      <name val="Arial"/>
      <family val="2"/>
    </font>
    <font>
      <sz val="8"/>
      <name val="Arial"/>
      <family val="2"/>
    </font>
    <font>
      <sz val="8"/>
      <color rgb="FF00B050"/>
      <name val="Arial"/>
      <family val="2"/>
    </font>
    <font>
      <b/>
      <sz val="8"/>
      <color theme="0" tint="-0.34998626667073579"/>
      <name val="Arial"/>
      <family val="2"/>
    </font>
    <font>
      <sz val="8"/>
      <color rgb="FFFF0000"/>
      <name val="Calibri"/>
      <family val="2"/>
      <scheme val="minor"/>
    </font>
    <font>
      <sz val="8"/>
      <color theme="0" tint="-0.249977111117893"/>
      <name val="Arial"/>
      <family val="2"/>
    </font>
    <font>
      <sz val="8"/>
      <color theme="0" tint="-0.34998626667073579"/>
      <name val="Arial"/>
      <family val="2"/>
    </font>
    <font>
      <sz val="8"/>
      <color rgb="FF000000"/>
      <name val="Arial"/>
      <family val="2"/>
    </font>
    <font>
      <b/>
      <sz val="12"/>
      <color theme="4"/>
      <name val="Calibri"/>
      <family val="2"/>
      <charset val="238"/>
      <scheme val="minor"/>
    </font>
    <font>
      <sz val="12"/>
      <color theme="4"/>
      <name val="Arial"/>
      <family val="2"/>
    </font>
    <font>
      <b/>
      <sz val="12"/>
      <color theme="4"/>
      <name val="Arial"/>
      <family val="2"/>
    </font>
    <font>
      <sz val="9"/>
      <color theme="1"/>
      <name val="Calibri"/>
      <family val="2"/>
      <scheme val="minor"/>
    </font>
    <font>
      <b/>
      <sz val="12"/>
      <name val="Calibri"/>
      <family val="2"/>
      <charset val="238"/>
      <scheme val="minor"/>
    </font>
    <font>
      <sz val="10"/>
      <name val="Calibri"/>
      <family val="2"/>
      <scheme val="minor"/>
    </font>
    <font>
      <sz val="10"/>
      <color theme="1"/>
      <name val="Arial"/>
      <family val="2"/>
    </font>
    <font>
      <sz val="10"/>
      <color theme="0" tint="-0.34998626667073579"/>
      <name val="Arial"/>
      <family val="2"/>
    </font>
    <font>
      <sz val="10"/>
      <color rgb="FFFF0000"/>
      <name val="Arial"/>
      <family val="2"/>
    </font>
    <font>
      <b/>
      <sz val="10"/>
      <color theme="0" tint="-0.34998626667073579"/>
      <name val="Arial"/>
      <family val="2"/>
    </font>
    <font>
      <sz val="10"/>
      <color theme="1"/>
      <name val="Calibri"/>
      <family val="2"/>
      <scheme val="minor"/>
    </font>
    <font>
      <sz val="10"/>
      <color theme="4" tint="-0.249977111117893"/>
      <name val="Calibri"/>
      <family val="2"/>
      <scheme val="minor"/>
    </font>
    <font>
      <sz val="10"/>
      <color theme="0" tint="-0.34998626667073579"/>
      <name val="Calibri"/>
      <family val="2"/>
      <scheme val="minor"/>
    </font>
    <font>
      <sz val="10"/>
      <color theme="0" tint="-0.249977111117893"/>
      <name val="Arial"/>
      <family val="2"/>
    </font>
    <font>
      <b/>
      <sz val="10"/>
      <color rgb="FFFF0000"/>
      <name val="Arial"/>
      <family val="2"/>
    </font>
    <font>
      <sz val="10"/>
      <color rgb="FF000000"/>
      <name val="Arial"/>
      <family val="2"/>
    </font>
  </fonts>
  <fills count="12">
    <fill>
      <patternFill patternType="none"/>
    </fill>
    <fill>
      <patternFill patternType="gray125"/>
    </fill>
    <fill>
      <patternFill patternType="solid">
        <fgColor rgb="FFDAEEF3"/>
        <bgColor rgb="FF000000"/>
      </patternFill>
    </fill>
    <fill>
      <patternFill patternType="solid">
        <fgColor theme="8" tint="0.79998168889431442"/>
        <bgColor indexed="64"/>
      </patternFill>
    </fill>
    <fill>
      <patternFill patternType="solid">
        <fgColor rgb="FFDAEEF3"/>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rgb="FFDDEBF7"/>
        <bgColor indexed="64"/>
      </patternFill>
    </fill>
    <fill>
      <patternFill patternType="solid">
        <fgColor theme="2"/>
        <bgColor indexed="64"/>
      </patternFill>
    </fill>
    <fill>
      <patternFill patternType="solid">
        <fgColor rgb="FFFF0000"/>
        <bgColor indexed="64"/>
      </patternFill>
    </fill>
    <fill>
      <patternFill patternType="solid">
        <fgColor rgb="FFFFFF00"/>
        <bgColor rgb="FF000000"/>
      </patternFill>
    </fill>
    <fill>
      <patternFill patternType="solid">
        <fgColor rgb="FFFFFF00"/>
        <bgColor indexed="64"/>
      </patternFill>
    </fill>
  </fills>
  <borders count="54">
    <border>
      <left/>
      <right/>
      <top/>
      <bottom/>
      <diagonal/>
    </border>
    <border>
      <left style="thin">
        <color rgb="FF000000"/>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rgb="FF000000"/>
      </left>
      <right/>
      <top style="thin">
        <color rgb="FF000000"/>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style="thin">
        <color rgb="FF000000"/>
      </left>
      <right/>
      <top style="medium">
        <color auto="1"/>
      </top>
      <bottom/>
      <diagonal/>
    </border>
    <border>
      <left/>
      <right style="medium">
        <color auto="1"/>
      </right>
      <top style="thin">
        <color rgb="FF000000"/>
      </top>
      <bottom style="medium">
        <color auto="1"/>
      </bottom>
      <diagonal/>
    </border>
    <border>
      <left/>
      <right/>
      <top style="thin">
        <color rgb="FF000000"/>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rgb="FF000000"/>
      </top>
      <bottom style="medium">
        <color auto="1"/>
      </bottom>
      <diagonal/>
    </border>
    <border>
      <left style="medium">
        <color auto="1"/>
      </left>
      <right style="thin">
        <color auto="1"/>
      </right>
      <top style="thin">
        <color auto="1"/>
      </top>
      <bottom style="medium">
        <color auto="1"/>
      </bottom>
      <diagonal/>
    </border>
    <border>
      <left style="thin">
        <color rgb="FF000000"/>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top/>
      <bottom style="medium">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s>
  <cellStyleXfs count="286">
    <xf numFmtId="0" fontId="0" fillId="0" borderId="0"/>
    <xf numFmtId="164" fontId="7"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6" fillId="0" borderId="0" applyFont="0" applyFill="0" applyBorder="0" applyAlignment="0" applyProtection="0"/>
    <xf numFmtId="0" fontId="17"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557">
    <xf numFmtId="0" fontId="0" fillId="0" borderId="0" xfId="0"/>
    <xf numFmtId="165" fontId="8" fillId="0" borderId="0" xfId="1" applyNumberFormat="1" applyFont="1" applyFill="1" applyBorder="1"/>
    <xf numFmtId="165" fontId="12" fillId="0" borderId="0" xfId="1" applyNumberFormat="1" applyFont="1" applyFill="1" applyBorder="1" applyAlignment="1">
      <alignment horizontal="left" indent="1"/>
    </xf>
    <xf numFmtId="165" fontId="12" fillId="0" borderId="0" xfId="1" applyNumberFormat="1" applyFont="1" applyFill="1" applyBorder="1"/>
    <xf numFmtId="165" fontId="9" fillId="2" borderId="5" xfId="1" applyNumberFormat="1" applyFont="1" applyFill="1" applyBorder="1"/>
    <xf numFmtId="0" fontId="18" fillId="3" borderId="3" xfId="7" applyFont="1" applyFill="1" applyBorder="1"/>
    <xf numFmtId="165" fontId="19" fillId="0" borderId="0" xfId="1" applyNumberFormat="1" applyFont="1" applyBorder="1"/>
    <xf numFmtId="0" fontId="19" fillId="0" borderId="2" xfId="7" applyFont="1" applyBorder="1"/>
    <xf numFmtId="0" fontId="18" fillId="0" borderId="2" xfId="7" applyFont="1" applyBorder="1"/>
    <xf numFmtId="0" fontId="12" fillId="0" borderId="14" xfId="1" applyNumberFormat="1" applyFont="1" applyFill="1" applyBorder="1" applyAlignment="1">
      <alignment horizontal="center"/>
    </xf>
    <xf numFmtId="165" fontId="12" fillId="0" borderId="0" xfId="1" applyNumberFormat="1" applyFont="1" applyFill="1" applyBorder="1" applyAlignment="1">
      <alignment horizontal="center"/>
    </xf>
    <xf numFmtId="0" fontId="12" fillId="2" borderId="17" xfId="1" applyNumberFormat="1" applyFont="1" applyFill="1" applyBorder="1" applyAlignment="1">
      <alignment horizontal="center"/>
    </xf>
    <xf numFmtId="0" fontId="12" fillId="0" borderId="21" xfId="1" applyNumberFormat="1" applyFont="1" applyFill="1" applyBorder="1" applyAlignment="1">
      <alignment horizontal="center"/>
    </xf>
    <xf numFmtId="165" fontId="9" fillId="0" borderId="0" xfId="1" applyNumberFormat="1" applyFont="1" applyFill="1" applyBorder="1"/>
    <xf numFmtId="0" fontId="11" fillId="0" borderId="14" xfId="1" applyNumberFormat="1" applyFont="1" applyFill="1" applyBorder="1" applyAlignment="1">
      <alignment horizontal="center"/>
    </xf>
    <xf numFmtId="0" fontId="11" fillId="0" borderId="12" xfId="1" applyNumberFormat="1" applyFont="1" applyFill="1" applyBorder="1" applyAlignment="1">
      <alignment horizontal="center"/>
    </xf>
    <xf numFmtId="165" fontId="8" fillId="0" borderId="0" xfId="1" applyNumberFormat="1" applyFont="1" applyFill="1" applyBorder="1" applyAlignment="1">
      <alignment horizontal="left" indent="1"/>
    </xf>
    <xf numFmtId="165" fontId="8" fillId="0" borderId="0" xfId="1" applyNumberFormat="1" applyFont="1" applyFill="1" applyBorder="1" applyAlignment="1">
      <alignment horizontal="left" wrapText="1" indent="1"/>
    </xf>
    <xf numFmtId="165" fontId="9" fillId="2" borderId="19" xfId="1" applyNumberFormat="1" applyFont="1" applyFill="1" applyBorder="1"/>
    <xf numFmtId="0" fontId="12" fillId="0" borderId="29" xfId="1" applyNumberFormat="1" applyFont="1" applyFill="1" applyBorder="1" applyAlignment="1">
      <alignment horizontal="center"/>
    </xf>
    <xf numFmtId="0" fontId="11" fillId="2" borderId="30" xfId="1" applyNumberFormat="1" applyFont="1" applyFill="1" applyBorder="1" applyAlignment="1">
      <alignment horizontal="center"/>
    </xf>
    <xf numFmtId="0" fontId="8" fillId="0" borderId="21" xfId="0" applyFont="1" applyBorder="1" applyAlignment="1">
      <alignment vertical="center" wrapText="1"/>
    </xf>
    <xf numFmtId="0" fontId="9" fillId="4" borderId="32" xfId="0" applyFont="1" applyFill="1" applyBorder="1" applyAlignment="1">
      <alignment vertical="center" wrapText="1"/>
    </xf>
    <xf numFmtId="165" fontId="9" fillId="2" borderId="17" xfId="1" applyNumberFormat="1" applyFont="1" applyFill="1" applyBorder="1" applyAlignment="1">
      <alignment horizontal="center"/>
    </xf>
    <xf numFmtId="9" fontId="12" fillId="0" borderId="0" xfId="6" applyFont="1" applyFill="1" applyBorder="1" applyAlignment="1">
      <alignment horizontal="center"/>
    </xf>
    <xf numFmtId="9" fontId="9" fillId="2" borderId="19" xfId="6" applyFont="1" applyFill="1" applyBorder="1" applyAlignment="1">
      <alignment horizontal="center"/>
    </xf>
    <xf numFmtId="0" fontId="11" fillId="0" borderId="21" xfId="1" applyNumberFormat="1" applyFont="1" applyFill="1" applyBorder="1" applyAlignment="1">
      <alignment horizontal="center"/>
    </xf>
    <xf numFmtId="0" fontId="12" fillId="2" borderId="33" xfId="1" applyNumberFormat="1" applyFont="1" applyFill="1" applyBorder="1" applyAlignment="1">
      <alignment horizontal="center"/>
    </xf>
    <xf numFmtId="165" fontId="12" fillId="0" borderId="8" xfId="1" applyNumberFormat="1" applyFont="1" applyFill="1" applyBorder="1" applyAlignment="1">
      <alignment horizontal="left" indent="1"/>
    </xf>
    <xf numFmtId="165" fontId="12" fillId="0" borderId="8" xfId="1" applyNumberFormat="1" applyFont="1" applyFill="1" applyBorder="1"/>
    <xf numFmtId="165" fontId="12" fillId="0" borderId="8" xfId="1" applyNumberFormat="1" applyFont="1" applyFill="1" applyBorder="1" applyAlignment="1">
      <alignment horizontal="center"/>
    </xf>
    <xf numFmtId="0" fontId="11" fillId="0" borderId="14" xfId="1" quotePrefix="1" applyNumberFormat="1" applyFont="1" applyFill="1" applyBorder="1" applyAlignment="1">
      <alignment horizontal="center"/>
    </xf>
    <xf numFmtId="165" fontId="8" fillId="0" borderId="4" xfId="1" applyNumberFormat="1" applyFont="1" applyFill="1" applyBorder="1" applyAlignment="1">
      <alignment horizontal="left" wrapText="1" indent="1"/>
    </xf>
    <xf numFmtId="0" fontId="12" fillId="0" borderId="31" xfId="1" applyNumberFormat="1" applyFont="1" applyFill="1" applyBorder="1" applyAlignment="1">
      <alignment horizontal="center"/>
    </xf>
    <xf numFmtId="0" fontId="18" fillId="0" borderId="0" xfId="7" applyFont="1"/>
    <xf numFmtId="0" fontId="19" fillId="0" borderId="11" xfId="7" applyFont="1" applyBorder="1"/>
    <xf numFmtId="165" fontId="19" fillId="0" borderId="0" xfId="1" applyNumberFormat="1" applyFont="1" applyFill="1" applyBorder="1"/>
    <xf numFmtId="165" fontId="14" fillId="0" borderId="0" xfId="1" applyNumberFormat="1" applyFont="1" applyFill="1" applyBorder="1"/>
    <xf numFmtId="165" fontId="9" fillId="0" borderId="4" xfId="1" applyNumberFormat="1" applyFont="1" applyFill="1" applyBorder="1"/>
    <xf numFmtId="0" fontId="12" fillId="0" borderId="39" xfId="1" applyNumberFormat="1" applyFont="1" applyFill="1" applyBorder="1" applyAlignment="1">
      <alignment horizontal="center"/>
    </xf>
    <xf numFmtId="0" fontId="11" fillId="0" borderId="31" xfId="1" applyNumberFormat="1" applyFont="1" applyFill="1" applyBorder="1" applyAlignment="1">
      <alignment horizontal="center"/>
    </xf>
    <xf numFmtId="0" fontId="18" fillId="4" borderId="6" xfId="7" applyFont="1" applyFill="1" applyBorder="1"/>
    <xf numFmtId="165" fontId="0" fillId="0" borderId="0" xfId="0" applyNumberFormat="1"/>
    <xf numFmtId="0" fontId="18" fillId="0" borderId="14" xfId="7" applyFont="1" applyBorder="1" applyAlignment="1">
      <alignment horizontal="center"/>
    </xf>
    <xf numFmtId="0" fontId="18" fillId="3" borderId="12" xfId="7" applyFont="1" applyFill="1" applyBorder="1" applyAlignment="1">
      <alignment horizontal="center"/>
    </xf>
    <xf numFmtId="0" fontId="19" fillId="0" borderId="14" xfId="7" applyFont="1" applyBorder="1" applyAlignment="1">
      <alignment horizontal="center"/>
    </xf>
    <xf numFmtId="0" fontId="18" fillId="3" borderId="15" xfId="7" applyFont="1" applyFill="1" applyBorder="1" applyAlignment="1">
      <alignment horizontal="center"/>
    </xf>
    <xf numFmtId="0" fontId="18" fillId="4" borderId="22" xfId="7" applyFont="1" applyFill="1" applyBorder="1" applyAlignment="1">
      <alignment horizontal="center"/>
    </xf>
    <xf numFmtId="49" fontId="12" fillId="0" borderId="0" xfId="1" applyNumberFormat="1" applyFont="1" applyFill="1" applyBorder="1" applyAlignment="1">
      <alignment horizontal="left" indent="1"/>
    </xf>
    <xf numFmtId="49" fontId="8" fillId="0" borderId="2" xfId="1" applyNumberFormat="1" applyFont="1" applyFill="1" applyBorder="1" applyAlignment="1">
      <alignment horizontal="left" indent="1"/>
    </xf>
    <xf numFmtId="49" fontId="8" fillId="0" borderId="2" xfId="0" applyNumberFormat="1" applyFont="1" applyBorder="1" applyAlignment="1">
      <alignment horizontal="left" wrapText="1" indent="1"/>
    </xf>
    <xf numFmtId="49" fontId="9" fillId="2" borderId="18" xfId="0" applyNumberFormat="1" applyFont="1" applyFill="1" applyBorder="1" applyAlignment="1">
      <alignment horizontal="left" wrapText="1" indent="1"/>
    </xf>
    <xf numFmtId="49" fontId="8" fillId="0" borderId="3" xfId="1" applyNumberFormat="1" applyFont="1" applyFill="1" applyBorder="1" applyAlignment="1">
      <alignment horizontal="left" indent="1"/>
    </xf>
    <xf numFmtId="49" fontId="8" fillId="0" borderId="3" xfId="0" applyNumberFormat="1" applyFont="1" applyBorder="1" applyAlignment="1">
      <alignment horizontal="left" wrapText="1" indent="1"/>
    </xf>
    <xf numFmtId="49" fontId="9" fillId="2" borderId="6" xfId="0" applyNumberFormat="1" applyFont="1" applyFill="1" applyBorder="1" applyAlignment="1">
      <alignment horizontal="left" wrapText="1" indent="1"/>
    </xf>
    <xf numFmtId="49" fontId="9" fillId="2" borderId="5" xfId="0" applyNumberFormat="1" applyFont="1" applyFill="1" applyBorder="1" applyAlignment="1">
      <alignment horizontal="left" wrapText="1" indent="1"/>
    </xf>
    <xf numFmtId="49" fontId="9" fillId="2" borderId="28" xfId="0" applyNumberFormat="1" applyFont="1" applyFill="1" applyBorder="1" applyAlignment="1">
      <alignment horizontal="left" wrapText="1" indent="1"/>
    </xf>
    <xf numFmtId="49" fontId="12" fillId="0" borderId="8" xfId="1" applyNumberFormat="1" applyFont="1" applyFill="1" applyBorder="1" applyAlignment="1">
      <alignment horizontal="left" indent="1"/>
    </xf>
    <xf numFmtId="49" fontId="9" fillId="2" borderId="34" xfId="0" applyNumberFormat="1" applyFont="1" applyFill="1" applyBorder="1" applyAlignment="1">
      <alignment horizontal="left" wrapText="1" indent="1"/>
    </xf>
    <xf numFmtId="49" fontId="12" fillId="0" borderId="9" xfId="1" applyNumberFormat="1" applyFont="1" applyFill="1" applyBorder="1" applyAlignment="1">
      <alignment horizontal="left" indent="1"/>
    </xf>
    <xf numFmtId="49" fontId="11" fillId="0" borderId="0" xfId="0" applyNumberFormat="1" applyFont="1" applyAlignment="1">
      <alignment horizontal="left" indent="1"/>
    </xf>
    <xf numFmtId="49" fontId="0" fillId="0" borderId="0" xfId="0" applyNumberFormat="1"/>
    <xf numFmtId="49" fontId="9" fillId="2" borderId="28" xfId="0" applyNumberFormat="1" applyFont="1" applyFill="1" applyBorder="1" applyAlignment="1">
      <alignment wrapText="1"/>
    </xf>
    <xf numFmtId="49" fontId="12" fillId="0" borderId="2" xfId="1" applyNumberFormat="1" applyFont="1" applyFill="1" applyBorder="1" applyAlignment="1">
      <alignment horizontal="left" indent="1"/>
    </xf>
    <xf numFmtId="0" fontId="11" fillId="4" borderId="15" xfId="1" applyNumberFormat="1" applyFont="1" applyFill="1" applyBorder="1" applyAlignment="1">
      <alignment horizontal="center"/>
    </xf>
    <xf numFmtId="49" fontId="9" fillId="4" borderId="6" xfId="1" applyNumberFormat="1" applyFont="1" applyFill="1" applyBorder="1" applyAlignment="1">
      <alignment horizontal="left" indent="1"/>
    </xf>
    <xf numFmtId="165" fontId="9" fillId="4" borderId="5" xfId="1" applyNumberFormat="1" applyFont="1" applyFill="1" applyBorder="1" applyAlignment="1">
      <alignment horizontal="left" indent="1"/>
    </xf>
    <xf numFmtId="49" fontId="14" fillId="0" borderId="0" xfId="0" applyNumberFormat="1" applyFont="1" applyAlignment="1">
      <alignment horizontal="left" indent="1"/>
    </xf>
    <xf numFmtId="49" fontId="20" fillId="4" borderId="19" xfId="0" applyNumberFormat="1" applyFont="1" applyFill="1" applyBorder="1" applyAlignment="1">
      <alignment horizontal="left" indent="1"/>
    </xf>
    <xf numFmtId="0" fontId="0" fillId="0" borderId="0" xfId="0" applyAlignment="1">
      <alignment horizontal="center"/>
    </xf>
    <xf numFmtId="0" fontId="14" fillId="0" borderId="14" xfId="0" applyFont="1" applyBorder="1" applyAlignment="1">
      <alignment horizontal="center"/>
    </xf>
    <xf numFmtId="0" fontId="20" fillId="4" borderId="17" xfId="0" applyFont="1" applyFill="1" applyBorder="1" applyAlignment="1">
      <alignment horizontal="center"/>
    </xf>
    <xf numFmtId="49" fontId="12" fillId="0" borderId="4" xfId="1" applyNumberFormat="1" applyFont="1" applyFill="1" applyBorder="1" applyAlignment="1">
      <alignment horizontal="left" indent="1"/>
    </xf>
    <xf numFmtId="0" fontId="11" fillId="0" borderId="15" xfId="1" applyNumberFormat="1" applyFont="1" applyFill="1" applyBorder="1" applyAlignment="1">
      <alignment horizontal="center"/>
    </xf>
    <xf numFmtId="0" fontId="11" fillId="0" borderId="30" xfId="1" applyNumberFormat="1" applyFont="1" applyFill="1" applyBorder="1" applyAlignment="1">
      <alignment horizontal="center"/>
    </xf>
    <xf numFmtId="49" fontId="12" fillId="0" borderId="5" xfId="1" applyNumberFormat="1" applyFont="1" applyFill="1" applyBorder="1" applyAlignment="1">
      <alignment horizontal="left" indent="1"/>
    </xf>
    <xf numFmtId="49" fontId="8" fillId="0" borderId="4" xfId="0" applyNumberFormat="1" applyFont="1" applyBorder="1" applyAlignment="1">
      <alignment horizontal="left" wrapText="1" indent="1"/>
    </xf>
    <xf numFmtId="165" fontId="9" fillId="3" borderId="19" xfId="1" applyNumberFormat="1" applyFont="1" applyFill="1" applyBorder="1"/>
    <xf numFmtId="165" fontId="9" fillId="0" borderId="4" xfId="1" applyNumberFormat="1" applyFont="1" applyFill="1" applyBorder="1" applyAlignment="1">
      <alignment horizontal="center"/>
    </xf>
    <xf numFmtId="0" fontId="18" fillId="4" borderId="40" xfId="7" applyFont="1" applyFill="1" applyBorder="1" applyAlignment="1">
      <alignment wrapText="1"/>
    </xf>
    <xf numFmtId="0" fontId="20" fillId="0" borderId="14" xfId="0" applyFont="1" applyBorder="1" applyAlignment="1">
      <alignment horizontal="center"/>
    </xf>
    <xf numFmtId="49" fontId="20" fillId="0" borderId="0" xfId="0" applyNumberFormat="1" applyFont="1" applyAlignment="1">
      <alignment horizontal="left" indent="1"/>
    </xf>
    <xf numFmtId="165" fontId="8" fillId="0" borderId="0" xfId="1" applyNumberFormat="1" applyFont="1" applyFill="1" applyBorder="1" applyAlignment="1">
      <alignment horizontal="center"/>
    </xf>
    <xf numFmtId="165" fontId="9" fillId="0" borderId="0" xfId="1" applyNumberFormat="1" applyFont="1" applyFill="1" applyBorder="1" applyAlignment="1">
      <alignment horizontal="left" indent="1"/>
    </xf>
    <xf numFmtId="0" fontId="0" fillId="5" borderId="36" xfId="0" applyFill="1" applyBorder="1"/>
    <xf numFmtId="165" fontId="0" fillId="5" borderId="38" xfId="0" applyNumberFormat="1" applyFill="1" applyBorder="1"/>
    <xf numFmtId="0" fontId="18" fillId="0" borderId="11" xfId="7" applyFont="1" applyBorder="1"/>
    <xf numFmtId="49" fontId="8" fillId="0" borderId="11" xfId="7" applyNumberFormat="1" applyFont="1" applyBorder="1"/>
    <xf numFmtId="49" fontId="19" fillId="0" borderId="11" xfId="7" applyNumberFormat="1" applyFont="1" applyBorder="1"/>
    <xf numFmtId="49" fontId="9" fillId="0" borderId="6" xfId="0" applyNumberFormat="1" applyFont="1" applyBorder="1" applyAlignment="1">
      <alignment horizontal="left" wrapText="1" indent="1"/>
    </xf>
    <xf numFmtId="165" fontId="9" fillId="0" borderId="5" xfId="1" applyNumberFormat="1" applyFont="1" applyFill="1" applyBorder="1"/>
    <xf numFmtId="49" fontId="9" fillId="0" borderId="4" xfId="0" applyNumberFormat="1" applyFont="1" applyBorder="1" applyAlignment="1">
      <alignment horizontal="left" wrapText="1" indent="1"/>
    </xf>
    <xf numFmtId="0" fontId="25" fillId="0" borderId="0" xfId="0" applyFont="1" applyAlignment="1">
      <alignment wrapText="1"/>
    </xf>
    <xf numFmtId="9" fontId="0" fillId="0" borderId="0" xfId="0" applyNumberFormat="1" applyAlignment="1">
      <alignment horizontal="center"/>
    </xf>
    <xf numFmtId="9" fontId="19" fillId="0" borderId="0" xfId="1" applyNumberFormat="1" applyFont="1" applyBorder="1" applyAlignment="1">
      <alignment horizontal="center"/>
    </xf>
    <xf numFmtId="165" fontId="19" fillId="0" borderId="0" xfId="1" applyNumberFormat="1" applyFont="1" applyBorder="1" applyAlignment="1">
      <alignment horizontal="center"/>
    </xf>
    <xf numFmtId="9" fontId="8" fillId="0" borderId="0" xfId="1" applyNumberFormat="1" applyFont="1" applyFill="1" applyBorder="1" applyAlignment="1">
      <alignment horizontal="center"/>
    </xf>
    <xf numFmtId="9" fontId="9" fillId="2" borderId="5" xfId="1" applyNumberFormat="1" applyFont="1" applyFill="1" applyBorder="1" applyAlignment="1">
      <alignment horizontal="center"/>
    </xf>
    <xf numFmtId="9" fontId="9" fillId="4" borderId="5" xfId="1" applyNumberFormat="1" applyFont="1" applyFill="1" applyBorder="1" applyAlignment="1">
      <alignment horizontal="center"/>
    </xf>
    <xf numFmtId="0" fontId="12" fillId="0" borderId="39" xfId="284" applyNumberFormat="1" applyFont="1" applyFill="1" applyBorder="1" applyAlignment="1">
      <alignment horizontal="center"/>
    </xf>
    <xf numFmtId="49" fontId="8" fillId="0" borderId="43" xfId="1" applyNumberFormat="1" applyFont="1" applyFill="1" applyBorder="1" applyAlignment="1">
      <alignment horizontal="left" indent="1"/>
    </xf>
    <xf numFmtId="0" fontId="11" fillId="0" borderId="39" xfId="1" applyNumberFormat="1" applyFont="1" applyFill="1" applyBorder="1" applyAlignment="1">
      <alignment horizontal="center"/>
    </xf>
    <xf numFmtId="165" fontId="9" fillId="3" borderId="5" xfId="1" applyNumberFormat="1" applyFont="1" applyFill="1" applyBorder="1"/>
    <xf numFmtId="165" fontId="26" fillId="0" borderId="0" xfId="1" applyNumberFormat="1" applyFont="1" applyFill="1" applyBorder="1"/>
    <xf numFmtId="165" fontId="24" fillId="0" borderId="0" xfId="1" applyNumberFormat="1" applyFont="1" applyFill="1" applyBorder="1"/>
    <xf numFmtId="0" fontId="28" fillId="0" borderId="0" xfId="0" applyFont="1"/>
    <xf numFmtId="49" fontId="27" fillId="3" borderId="16" xfId="7" applyNumberFormat="1" applyFont="1" applyFill="1" applyBorder="1" applyAlignment="1">
      <alignment wrapText="1"/>
    </xf>
    <xf numFmtId="165" fontId="22" fillId="0" borderId="0" xfId="1" applyNumberFormat="1" applyFont="1" applyFill="1" applyBorder="1"/>
    <xf numFmtId="49" fontId="19" fillId="3" borderId="13" xfId="7" applyNumberFormat="1" applyFont="1" applyFill="1" applyBorder="1" applyAlignment="1">
      <alignment wrapText="1"/>
    </xf>
    <xf numFmtId="49" fontId="9" fillId="3" borderId="24" xfId="1" applyNumberFormat="1" applyFont="1" applyFill="1" applyBorder="1" applyAlignment="1">
      <alignment wrapText="1"/>
    </xf>
    <xf numFmtId="49" fontId="22" fillId="0" borderId="11" xfId="1" applyNumberFormat="1" applyFont="1" applyFill="1" applyBorder="1" applyAlignment="1">
      <alignment horizontal="left" indent="1"/>
    </xf>
    <xf numFmtId="49" fontId="8" fillId="0" borderId="4" xfId="1" applyNumberFormat="1" applyFont="1" applyFill="1" applyBorder="1" applyAlignment="1">
      <alignment horizontal="left" indent="1"/>
    </xf>
    <xf numFmtId="165" fontId="24" fillId="3" borderId="19" xfId="1" applyNumberFormat="1" applyFont="1" applyFill="1" applyBorder="1"/>
    <xf numFmtId="166" fontId="25" fillId="7" borderId="0" xfId="0" applyNumberFormat="1" applyFont="1" applyFill="1"/>
    <xf numFmtId="167" fontId="25" fillId="7" borderId="0" xfId="0" applyNumberFormat="1" applyFont="1" applyFill="1"/>
    <xf numFmtId="2" fontId="32" fillId="7" borderId="0" xfId="0" applyNumberFormat="1" applyFont="1" applyFill="1"/>
    <xf numFmtId="49" fontId="22" fillId="0" borderId="11" xfId="1" applyNumberFormat="1" applyFont="1" applyFill="1" applyBorder="1" applyAlignment="1">
      <alignment horizontal="left" wrapText="1" indent="1"/>
    </xf>
    <xf numFmtId="165" fontId="33" fillId="0" borderId="4" xfId="1" applyNumberFormat="1" applyFont="1" applyFill="1" applyBorder="1" applyAlignment="1">
      <alignment horizontal="center"/>
    </xf>
    <xf numFmtId="165" fontId="26" fillId="0" borderId="0" xfId="1" applyNumberFormat="1" applyFont="1" applyFill="1" applyBorder="1" applyAlignment="1">
      <alignment horizontal="center"/>
    </xf>
    <xf numFmtId="165" fontId="35" fillId="0" borderId="0" xfId="1" applyNumberFormat="1" applyFont="1" applyFill="1" applyBorder="1"/>
    <xf numFmtId="0" fontId="36" fillId="0" borderId="0" xfId="0" applyFont="1"/>
    <xf numFmtId="165" fontId="9" fillId="0" borderId="0" xfId="1" applyNumberFormat="1" applyFont="1" applyFill="1" applyBorder="1" applyAlignment="1">
      <alignment horizontal="center"/>
    </xf>
    <xf numFmtId="165" fontId="34" fillId="0" borderId="0" xfId="1" applyNumberFormat="1" applyFont="1" applyFill="1" applyBorder="1"/>
    <xf numFmtId="9" fontId="8" fillId="0" borderId="0" xfId="6" applyFont="1" applyFill="1" applyBorder="1" applyAlignment="1">
      <alignment horizontal="center"/>
    </xf>
    <xf numFmtId="9" fontId="9" fillId="0" borderId="4" xfId="6" applyFont="1" applyFill="1" applyBorder="1" applyAlignment="1">
      <alignment horizontal="center"/>
    </xf>
    <xf numFmtId="9" fontId="9" fillId="0" borderId="0" xfId="6" applyFont="1" applyFill="1" applyBorder="1" applyAlignment="1">
      <alignment horizontal="center"/>
    </xf>
    <xf numFmtId="9" fontId="8" fillId="0" borderId="4" xfId="6" applyFont="1" applyFill="1" applyBorder="1" applyAlignment="1">
      <alignment horizontal="center"/>
    </xf>
    <xf numFmtId="9" fontId="9" fillId="0" borderId="5" xfId="6" applyFont="1" applyFill="1" applyBorder="1" applyAlignment="1">
      <alignment horizontal="center"/>
    </xf>
    <xf numFmtId="9" fontId="9" fillId="2" borderId="5" xfId="6" applyFont="1" applyFill="1" applyBorder="1" applyAlignment="1">
      <alignment horizontal="center"/>
    </xf>
    <xf numFmtId="165" fontId="9" fillId="0" borderId="4" xfId="1" applyNumberFormat="1" applyFont="1" applyFill="1" applyBorder="1" applyAlignment="1">
      <alignment horizontal="left" indent="1"/>
    </xf>
    <xf numFmtId="165" fontId="33" fillId="3" borderId="5" xfId="1" applyNumberFormat="1" applyFont="1" applyFill="1" applyBorder="1" applyAlignment="1">
      <alignment horizontal="left" indent="1"/>
    </xf>
    <xf numFmtId="9" fontId="9" fillId="2" borderId="19" xfId="1" applyNumberFormat="1" applyFont="1" applyFill="1" applyBorder="1" applyAlignment="1">
      <alignment horizontal="center"/>
    </xf>
    <xf numFmtId="164" fontId="8" fillId="0" borderId="0" xfId="1" applyFont="1" applyFill="1" applyBorder="1"/>
    <xf numFmtId="164" fontId="35" fillId="0" borderId="0" xfId="1" applyFont="1" applyFill="1" applyBorder="1"/>
    <xf numFmtId="164" fontId="26" fillId="0" borderId="0" xfId="1" applyFont="1" applyFill="1" applyBorder="1"/>
    <xf numFmtId="49" fontId="8" fillId="0" borderId="0" xfId="1" applyNumberFormat="1" applyFont="1" applyFill="1" applyBorder="1" applyAlignment="1">
      <alignment horizontal="left" indent="1"/>
    </xf>
    <xf numFmtId="49" fontId="38" fillId="0" borderId="2" xfId="1" applyNumberFormat="1" applyFont="1" applyFill="1" applyBorder="1" applyAlignment="1">
      <alignment horizontal="left" indent="1"/>
    </xf>
    <xf numFmtId="165" fontId="38" fillId="0" borderId="0" xfId="1" applyNumberFormat="1" applyFont="1" applyFill="1" applyBorder="1" applyAlignment="1">
      <alignment horizontal="left" indent="1"/>
    </xf>
    <xf numFmtId="165" fontId="38" fillId="0" borderId="0" xfId="1" applyNumberFormat="1" applyFont="1" applyFill="1" applyBorder="1" applyAlignment="1">
      <alignment horizontal="center"/>
    </xf>
    <xf numFmtId="165" fontId="38" fillId="0" borderId="0" xfId="1" applyNumberFormat="1" applyFont="1" applyFill="1" applyBorder="1"/>
    <xf numFmtId="9" fontId="38" fillId="0" borderId="0" xfId="1" applyNumberFormat="1" applyFont="1" applyFill="1" applyBorder="1" applyAlignment="1">
      <alignment horizontal="center"/>
    </xf>
    <xf numFmtId="0" fontId="37" fillId="0" borderId="14" xfId="1" applyNumberFormat="1" applyFont="1" applyFill="1" applyBorder="1" applyAlignment="1">
      <alignment horizontal="center"/>
    </xf>
    <xf numFmtId="0" fontId="39" fillId="0" borderId="0" xfId="0" applyFont="1"/>
    <xf numFmtId="0" fontId="40" fillId="0" borderId="0" xfId="0" applyFont="1" applyAlignment="1">
      <alignment vertical="center"/>
    </xf>
    <xf numFmtId="0" fontId="0" fillId="0" borderId="50" xfId="0" applyBorder="1" applyAlignment="1">
      <alignment vertical="center"/>
    </xf>
    <xf numFmtId="164" fontId="0" fillId="0" borderId="0" xfId="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xf>
    <xf numFmtId="164" fontId="0" fillId="0" borderId="51" xfId="1" applyFont="1" applyBorder="1" applyAlignment="1">
      <alignment horizontal="center" vertical="center"/>
    </xf>
    <xf numFmtId="17" fontId="0" fillId="0" borderId="51" xfId="0" applyNumberFormat="1" applyBorder="1" applyAlignment="1">
      <alignment vertical="center" wrapText="1"/>
    </xf>
    <xf numFmtId="14" fontId="0" fillId="0" borderId="0" xfId="0" applyNumberFormat="1" applyAlignment="1">
      <alignment horizontal="left" vertical="center"/>
    </xf>
    <xf numFmtId="14" fontId="0" fillId="0" borderId="0" xfId="0" applyNumberFormat="1" applyAlignment="1">
      <alignment horizontal="center" vertical="center"/>
    </xf>
    <xf numFmtId="0" fontId="0" fillId="0" borderId="11" xfId="0" applyBorder="1" applyAlignment="1">
      <alignment vertical="center" wrapText="1"/>
    </xf>
    <xf numFmtId="8" fontId="0" fillId="0" borderId="0" xfId="0" applyNumberFormat="1" applyAlignment="1">
      <alignment horizontal="center" vertical="center" wrapText="1"/>
    </xf>
    <xf numFmtId="0" fontId="0" fillId="0" borderId="51" xfId="0" applyBorder="1" applyAlignment="1">
      <alignment vertical="center"/>
    </xf>
    <xf numFmtId="0" fontId="0" fillId="0" borderId="9" xfId="0" applyBorder="1" applyAlignment="1">
      <alignment horizontal="center" vertical="center" wrapText="1"/>
    </xf>
    <xf numFmtId="17" fontId="25" fillId="0" borderId="51" xfId="0" applyNumberFormat="1" applyFont="1" applyBorder="1" applyAlignment="1">
      <alignment vertical="center" wrapText="1"/>
    </xf>
    <xf numFmtId="164" fontId="25" fillId="0" borderId="0" xfId="1" applyFont="1" applyBorder="1" applyAlignment="1">
      <alignment horizontal="center" vertical="center"/>
    </xf>
    <xf numFmtId="15" fontId="25" fillId="0" borderId="0" xfId="0" applyNumberFormat="1" applyFont="1" applyAlignment="1">
      <alignment horizontal="center" vertical="center"/>
    </xf>
    <xf numFmtId="0" fontId="25" fillId="0" borderId="11" xfId="0" applyFont="1" applyBorder="1" applyAlignment="1">
      <alignment horizontal="center" vertical="center" wrapText="1"/>
    </xf>
    <xf numFmtId="0" fontId="25" fillId="0" borderId="0" xfId="0" applyFont="1" applyAlignment="1">
      <alignment horizontal="center" vertical="center"/>
    </xf>
    <xf numFmtId="0" fontId="25" fillId="0" borderId="51" xfId="0" applyFont="1" applyBorder="1" applyAlignment="1">
      <alignment vertical="center"/>
    </xf>
    <xf numFmtId="0" fontId="25" fillId="0" borderId="51" xfId="0" applyFont="1" applyBorder="1" applyAlignment="1">
      <alignment horizontal="center" vertical="center"/>
    </xf>
    <xf numFmtId="165" fontId="24" fillId="0" borderId="4" xfId="1" applyNumberFormat="1" applyFont="1" applyFill="1" applyBorder="1" applyAlignment="1">
      <alignment horizontal="center"/>
    </xf>
    <xf numFmtId="164" fontId="42" fillId="0" borderId="11" xfId="1" applyFont="1" applyBorder="1" applyAlignment="1">
      <alignment horizontal="center" vertical="center"/>
    </xf>
    <xf numFmtId="164" fontId="42" fillId="0" borderId="51" xfId="1" applyFont="1" applyBorder="1" applyAlignment="1">
      <alignment horizontal="center" vertical="center"/>
    </xf>
    <xf numFmtId="164" fontId="43" fillId="0" borderId="51" xfId="1" applyFont="1" applyBorder="1" applyAlignment="1">
      <alignment horizontal="center" vertical="center"/>
    </xf>
    <xf numFmtId="4" fontId="42" fillId="0" borderId="51" xfId="0" applyNumberFormat="1" applyFont="1" applyBorder="1" applyAlignment="1">
      <alignment horizontal="center" vertical="center"/>
    </xf>
    <xf numFmtId="4" fontId="42" fillId="0" borderId="11" xfId="0" applyNumberFormat="1" applyFont="1" applyBorder="1" applyAlignment="1">
      <alignment horizontal="center" vertical="center"/>
    </xf>
    <xf numFmtId="0" fontId="42" fillId="0" borderId="50" xfId="0" applyFont="1" applyBorder="1" applyAlignment="1">
      <alignment horizontal="center" vertical="center"/>
    </xf>
    <xf numFmtId="0" fontId="42" fillId="0" borderId="51" xfId="0" applyFont="1" applyBorder="1" applyAlignment="1">
      <alignment vertical="center" wrapText="1"/>
    </xf>
    <xf numFmtId="0" fontId="42" fillId="0" borderId="51" xfId="0" applyFont="1" applyBorder="1" applyAlignment="1">
      <alignment vertical="center"/>
    </xf>
    <xf numFmtId="0" fontId="42" fillId="0" borderId="51" xfId="0" applyFont="1" applyBorder="1" applyAlignment="1">
      <alignment horizontal="center" vertical="center"/>
    </xf>
    <xf numFmtId="0" fontId="46" fillId="0" borderId="0" xfId="0" applyFont="1"/>
    <xf numFmtId="165" fontId="45" fillId="0" borderId="0" xfId="1" applyNumberFormat="1" applyFont="1" applyFill="1" applyBorder="1" applyAlignment="1">
      <alignment horizontal="left" indent="1"/>
    </xf>
    <xf numFmtId="9" fontId="45" fillId="0" borderId="0" xfId="1" applyNumberFormat="1" applyFont="1" applyFill="1" applyBorder="1" applyAlignment="1">
      <alignment horizontal="center"/>
    </xf>
    <xf numFmtId="0" fontId="44" fillId="0" borderId="21" xfId="1" applyNumberFormat="1" applyFont="1" applyFill="1" applyBorder="1" applyAlignment="1">
      <alignment horizontal="center"/>
    </xf>
    <xf numFmtId="49" fontId="44" fillId="0" borderId="0" xfId="1" applyNumberFormat="1" applyFont="1" applyFill="1" applyBorder="1" applyAlignment="1">
      <alignment horizontal="left" indent="1"/>
    </xf>
    <xf numFmtId="166" fontId="36" fillId="0" borderId="11" xfId="0" applyNumberFormat="1" applyFont="1" applyBorder="1" applyAlignment="1">
      <alignment horizontal="center" vertical="center"/>
    </xf>
    <xf numFmtId="2" fontId="0" fillId="0" borderId="0" xfId="0" applyNumberFormat="1" applyAlignment="1">
      <alignment vertical="center" wrapText="1"/>
    </xf>
    <xf numFmtId="0" fontId="0" fillId="0" borderId="0" xfId="0" applyAlignment="1">
      <alignment vertical="center" wrapText="1"/>
    </xf>
    <xf numFmtId="0" fontId="0" fillId="0" borderId="11" xfId="0" applyBorder="1" applyAlignment="1">
      <alignment horizontal="left" vertical="center" wrapText="1"/>
    </xf>
    <xf numFmtId="0" fontId="47" fillId="0" borderId="0" xfId="0" applyFont="1" applyAlignment="1">
      <alignment vertical="center"/>
    </xf>
    <xf numFmtId="164" fontId="43" fillId="0" borderId="0" xfId="1" applyFont="1" applyBorder="1" applyAlignment="1">
      <alignment horizontal="center" vertical="center"/>
    </xf>
    <xf numFmtId="15" fontId="43" fillId="0" borderId="0" xfId="0" applyNumberFormat="1" applyFont="1" applyAlignment="1">
      <alignment horizontal="center" vertical="center"/>
    </xf>
    <xf numFmtId="0" fontId="43" fillId="0" borderId="11" xfId="0" applyFont="1" applyBorder="1" applyAlignment="1">
      <alignment horizontal="center" vertical="center" wrapText="1"/>
    </xf>
    <xf numFmtId="0" fontId="49" fillId="0" borderId="0" xfId="0" applyFont="1"/>
    <xf numFmtId="0" fontId="5" fillId="0" borderId="0" xfId="0" applyFont="1"/>
    <xf numFmtId="164" fontId="51" fillId="0" borderId="51" xfId="1" applyFont="1" applyBorder="1" applyAlignment="1">
      <alignment horizontal="center" vertical="center" wrapText="1"/>
    </xf>
    <xf numFmtId="0" fontId="52" fillId="0" borderId="0" xfId="0" applyFont="1" applyAlignment="1">
      <alignment horizontal="center" vertical="center" wrapText="1"/>
    </xf>
    <xf numFmtId="164" fontId="51" fillId="0" borderId="0" xfId="1" applyFont="1" applyBorder="1" applyAlignment="1">
      <alignment horizontal="center" vertical="center"/>
    </xf>
    <xf numFmtId="0" fontId="51" fillId="0" borderId="0" xfId="0" applyFont="1"/>
    <xf numFmtId="0" fontId="0" fillId="0" borderId="0" xfId="0" applyAlignment="1">
      <alignment horizontal="right"/>
    </xf>
    <xf numFmtId="165" fontId="12" fillId="0" borderId="0" xfId="1" applyNumberFormat="1" applyFont="1" applyFill="1" applyBorder="1" applyAlignment="1">
      <alignment horizontal="right"/>
    </xf>
    <xf numFmtId="0" fontId="0" fillId="0" borderId="0" xfId="0" applyAlignment="1">
      <alignment horizontal="left" wrapText="1"/>
    </xf>
    <xf numFmtId="0" fontId="0" fillId="0" borderId="0" xfId="0" applyAlignment="1">
      <alignment horizontal="left"/>
    </xf>
    <xf numFmtId="0" fontId="0" fillId="0" borderId="51" xfId="0" applyBorder="1"/>
    <xf numFmtId="164" fontId="36" fillId="0" borderId="11" xfId="1" applyFont="1" applyBorder="1" applyAlignment="1">
      <alignment horizontal="center" vertical="center"/>
    </xf>
    <xf numFmtId="0" fontId="36" fillId="0" borderId="14" xfId="0" applyFont="1" applyBorder="1" applyAlignment="1">
      <alignment horizontal="left" vertical="center" wrapText="1"/>
    </xf>
    <xf numFmtId="2" fontId="36" fillId="0" borderId="0" xfId="0" applyNumberFormat="1" applyFont="1" applyAlignment="1">
      <alignment vertical="center" wrapText="1"/>
    </xf>
    <xf numFmtId="0" fontId="36" fillId="0" borderId="0" xfId="0" applyFont="1" applyAlignment="1">
      <alignment horizontal="center" vertical="center"/>
    </xf>
    <xf numFmtId="164" fontId="36" fillId="0" borderId="0" xfId="1" applyFont="1" applyBorder="1" applyAlignment="1">
      <alignment horizontal="center" vertical="center"/>
    </xf>
    <xf numFmtId="0" fontId="57" fillId="0" borderId="14" xfId="0" applyFont="1" applyBorder="1" applyAlignment="1">
      <alignment horizontal="left" vertical="center" wrapText="1"/>
    </xf>
    <xf numFmtId="2" fontId="57" fillId="0" borderId="0" xfId="0" applyNumberFormat="1" applyFont="1" applyAlignment="1">
      <alignment vertical="center" wrapText="1"/>
    </xf>
    <xf numFmtId="4" fontId="57" fillId="0" borderId="0" xfId="0" applyNumberFormat="1" applyFont="1" applyAlignment="1">
      <alignment horizontal="center" vertical="center"/>
    </xf>
    <xf numFmtId="4" fontId="57" fillId="0" borderId="11" xfId="0" applyNumberFormat="1" applyFont="1" applyBorder="1" applyAlignment="1">
      <alignment horizontal="center" vertical="center"/>
    </xf>
    <xf numFmtId="4" fontId="57" fillId="0" borderId="51" xfId="0" applyNumberFormat="1" applyFont="1" applyBorder="1" applyAlignment="1">
      <alignment wrapText="1"/>
    </xf>
    <xf numFmtId="14" fontId="41" fillId="8" borderId="52" xfId="0" applyNumberFormat="1" applyFont="1" applyFill="1" applyBorder="1"/>
    <xf numFmtId="0" fontId="41" fillId="8" borderId="23" xfId="0" applyFont="1" applyFill="1" applyBorder="1" applyAlignment="1">
      <alignment horizontal="center"/>
    </xf>
    <xf numFmtId="0" fontId="41" fillId="8" borderId="24" xfId="0" applyFont="1" applyFill="1" applyBorder="1" applyAlignment="1">
      <alignment horizontal="center" wrapText="1"/>
    </xf>
    <xf numFmtId="0" fontId="41" fillId="8" borderId="23" xfId="0" applyFont="1" applyFill="1" applyBorder="1" applyAlignment="1">
      <alignment horizontal="center" wrapText="1"/>
    </xf>
    <xf numFmtId="0" fontId="53" fillId="8" borderId="52" xfId="0" applyFont="1" applyFill="1" applyBorder="1" applyAlignment="1">
      <alignment horizontal="center"/>
    </xf>
    <xf numFmtId="164" fontId="59" fillId="8" borderId="52" xfId="1" applyFont="1" applyFill="1" applyBorder="1" applyAlignment="1">
      <alignment horizontal="center"/>
    </xf>
    <xf numFmtId="164" fontId="53" fillId="8" borderId="24" xfId="1" applyFont="1" applyFill="1" applyBorder="1" applyAlignment="1">
      <alignment horizontal="center"/>
    </xf>
    <xf numFmtId="0" fontId="41" fillId="8" borderId="36" xfId="0" applyFont="1" applyFill="1" applyBorder="1" applyAlignment="1">
      <alignment vertical="center" wrapText="1"/>
    </xf>
    <xf numFmtId="0" fontId="53" fillId="8" borderId="49" xfId="0" applyFont="1" applyFill="1" applyBorder="1" applyAlignment="1">
      <alignment horizontal="center" vertical="center" wrapText="1"/>
    </xf>
    <xf numFmtId="0" fontId="58" fillId="8" borderId="49" xfId="0" applyFont="1" applyFill="1" applyBorder="1" applyAlignment="1">
      <alignment horizontal="center" vertical="center" wrapText="1"/>
    </xf>
    <xf numFmtId="0" fontId="41" fillId="8" borderId="37" xfId="0" applyFont="1" applyFill="1" applyBorder="1" applyAlignment="1">
      <alignment horizontal="center" vertical="center" wrapText="1"/>
    </xf>
    <xf numFmtId="0" fontId="41" fillId="8" borderId="36" xfId="0" applyFont="1" applyFill="1" applyBorder="1" applyAlignment="1">
      <alignment horizontal="center" vertical="center" wrapText="1"/>
    </xf>
    <xf numFmtId="15" fontId="36" fillId="0" borderId="0" xfId="0" applyNumberFormat="1" applyFont="1" applyAlignment="1">
      <alignment horizontal="center" vertical="center"/>
    </xf>
    <xf numFmtId="0" fontId="36" fillId="0" borderId="11" xfId="0" applyFont="1" applyBorder="1" applyAlignment="1">
      <alignment horizontal="center" vertical="center" wrapText="1"/>
    </xf>
    <xf numFmtId="14" fontId="53" fillId="8" borderId="52" xfId="0" applyNumberFormat="1" applyFont="1" applyFill="1" applyBorder="1" applyAlignment="1">
      <alignment vertical="center"/>
    </xf>
    <xf numFmtId="164" fontId="53" fillId="8" borderId="24" xfId="1" applyFont="1" applyFill="1" applyBorder="1" applyAlignment="1">
      <alignment horizontal="center" vertical="center"/>
    </xf>
    <xf numFmtId="164" fontId="53" fillId="8" borderId="52" xfId="1" applyFont="1" applyFill="1" applyBorder="1" applyAlignment="1">
      <alignment horizontal="center" vertical="center"/>
    </xf>
    <xf numFmtId="0" fontId="53" fillId="8" borderId="23" xfId="0" applyFont="1" applyFill="1" applyBorder="1" applyAlignment="1">
      <alignment horizontal="center" vertical="center"/>
    </xf>
    <xf numFmtId="0" fontId="53" fillId="8" borderId="23" xfId="0" applyFont="1" applyFill="1" applyBorder="1" applyAlignment="1">
      <alignment horizontal="center" vertical="center" wrapText="1"/>
    </xf>
    <xf numFmtId="0" fontId="53" fillId="8" borderId="22" xfId="0" applyFont="1" applyFill="1" applyBorder="1" applyAlignment="1">
      <alignment horizontal="center" vertical="center" wrapText="1"/>
    </xf>
    <xf numFmtId="2" fontId="53" fillId="8" borderId="23" xfId="1" applyNumberFormat="1" applyFont="1" applyFill="1" applyBorder="1" applyAlignment="1">
      <alignment horizontal="center" vertical="center"/>
    </xf>
    <xf numFmtId="43" fontId="53" fillId="8" borderId="24" xfId="0" applyNumberFormat="1" applyFont="1" applyFill="1" applyBorder="1" applyAlignment="1">
      <alignment horizontal="center" vertical="center"/>
    </xf>
    <xf numFmtId="164" fontId="58" fillId="8" borderId="52" xfId="1" applyFont="1" applyFill="1" applyBorder="1" applyAlignment="1">
      <alignment horizontal="center"/>
    </xf>
    <xf numFmtId="164" fontId="58" fillId="8" borderId="52" xfId="1" applyFont="1" applyFill="1" applyBorder="1" applyAlignment="1">
      <alignment horizontal="center" vertical="center"/>
    </xf>
    <xf numFmtId="165" fontId="45" fillId="0" borderId="0" xfId="1" applyNumberFormat="1" applyFont="1" applyFill="1" applyBorder="1" applyAlignment="1">
      <alignment horizontal="center"/>
    </xf>
    <xf numFmtId="164" fontId="53" fillId="9" borderId="23" xfId="1" applyFont="1" applyFill="1" applyBorder="1" applyAlignment="1">
      <alignment horizontal="center" vertical="center"/>
    </xf>
    <xf numFmtId="0" fontId="44" fillId="0" borderId="14" xfId="7" applyFont="1" applyBorder="1" applyAlignment="1">
      <alignment horizontal="center"/>
    </xf>
    <xf numFmtId="0" fontId="44" fillId="0" borderId="2" xfId="7" applyFont="1" applyBorder="1"/>
    <xf numFmtId="49" fontId="45" fillId="0" borderId="11" xfId="1" applyNumberFormat="1" applyFont="1" applyFill="1" applyBorder="1"/>
    <xf numFmtId="49" fontId="45" fillId="0" borderId="11" xfId="7" applyNumberFormat="1" applyFont="1" applyBorder="1"/>
    <xf numFmtId="0" fontId="44" fillId="3" borderId="17" xfId="7" applyFont="1" applyFill="1" applyBorder="1" applyAlignment="1">
      <alignment horizontal="center"/>
    </xf>
    <xf numFmtId="49" fontId="45" fillId="0" borderId="0" xfId="1" applyNumberFormat="1" applyFont="1" applyFill="1" applyBorder="1" applyAlignment="1">
      <alignment horizontal="left" indent="1"/>
    </xf>
    <xf numFmtId="0" fontId="45" fillId="0" borderId="31" xfId="1" applyNumberFormat="1" applyFont="1" applyFill="1" applyBorder="1" applyAlignment="1">
      <alignment horizontal="center"/>
    </xf>
    <xf numFmtId="10" fontId="45" fillId="0" borderId="0" xfId="1" applyNumberFormat="1" applyFont="1" applyFill="1" applyBorder="1" applyAlignment="1">
      <alignment horizontal="center"/>
    </xf>
    <xf numFmtId="0" fontId="51" fillId="0" borderId="0" xfId="0" applyFont="1" applyAlignment="1">
      <alignment horizontal="center" vertical="center" wrapText="1"/>
    </xf>
    <xf numFmtId="0" fontId="11" fillId="0" borderId="21" xfId="1" applyNumberFormat="1" applyFont="1" applyFill="1" applyBorder="1" applyAlignment="1">
      <alignment horizontal="center" wrapText="1"/>
    </xf>
    <xf numFmtId="0" fontId="9" fillId="0" borderId="14" xfId="7" applyFont="1" applyBorder="1" applyAlignment="1">
      <alignment horizontal="center"/>
    </xf>
    <xf numFmtId="0" fontId="9" fillId="0" borderId="2" xfId="7" applyFont="1" applyBorder="1"/>
    <xf numFmtId="49" fontId="8" fillId="0" borderId="11" xfId="1" applyNumberFormat="1" applyFont="1" applyFill="1" applyBorder="1"/>
    <xf numFmtId="0" fontId="8" fillId="0" borderId="14" xfId="7" applyFont="1" applyBorder="1" applyAlignment="1">
      <alignment horizontal="center"/>
    </xf>
    <xf numFmtId="0" fontId="8" fillId="0" borderId="2" xfId="7" applyFont="1" applyBorder="1"/>
    <xf numFmtId="49" fontId="8" fillId="0" borderId="0" xfId="1" applyNumberFormat="1" applyFont="1" applyFill="1" applyBorder="1"/>
    <xf numFmtId="0" fontId="9" fillId="0" borderId="6" xfId="7" applyFont="1" applyBorder="1"/>
    <xf numFmtId="49" fontId="9" fillId="0" borderId="48" xfId="1" applyNumberFormat="1" applyFont="1" applyFill="1" applyBorder="1"/>
    <xf numFmtId="0" fontId="9" fillId="4" borderId="41" xfId="7" applyFont="1" applyFill="1" applyBorder="1" applyAlignment="1">
      <alignment horizontal="center"/>
    </xf>
    <xf numFmtId="0" fontId="9" fillId="4" borderId="42" xfId="7" applyFont="1" applyFill="1" applyBorder="1"/>
    <xf numFmtId="49" fontId="8" fillId="4" borderId="25" xfId="1" applyNumberFormat="1" applyFont="1" applyFill="1" applyBorder="1"/>
    <xf numFmtId="0" fontId="9" fillId="4" borderId="22" xfId="7" applyFont="1" applyFill="1" applyBorder="1" applyAlignment="1">
      <alignment horizontal="center"/>
    </xf>
    <xf numFmtId="0" fontId="9" fillId="4" borderId="35" xfId="7" applyFont="1" applyFill="1" applyBorder="1"/>
    <xf numFmtId="49" fontId="8" fillId="4" borderId="20" xfId="1" applyNumberFormat="1" applyFont="1" applyFill="1" applyBorder="1"/>
    <xf numFmtId="0" fontId="62" fillId="4" borderId="36" xfId="0" applyFont="1" applyFill="1" applyBorder="1" applyAlignment="1">
      <alignment horizontal="left"/>
    </xf>
    <xf numFmtId="0" fontId="62" fillId="4" borderId="37" xfId="0" applyFont="1" applyFill="1" applyBorder="1"/>
    <xf numFmtId="17" fontId="9" fillId="3" borderId="37" xfId="0" applyNumberFormat="1" applyFont="1" applyFill="1" applyBorder="1" applyAlignment="1">
      <alignment horizontal="center" wrapText="1"/>
    </xf>
    <xf numFmtId="0" fontId="9" fillId="3" borderId="37" xfId="0" applyFont="1" applyFill="1" applyBorder="1" applyAlignment="1">
      <alignment horizontal="center" wrapText="1"/>
    </xf>
    <xf numFmtId="49" fontId="9" fillId="0" borderId="0" xfId="0" applyNumberFormat="1" applyFont="1" applyAlignment="1">
      <alignment horizontal="left" indent="1"/>
    </xf>
    <xf numFmtId="0" fontId="9" fillId="0" borderId="14" xfId="0" applyFont="1" applyBorder="1" applyAlignment="1">
      <alignment horizontal="center" wrapText="1"/>
    </xf>
    <xf numFmtId="0" fontId="9" fillId="3" borderId="44" xfId="0" applyFont="1" applyFill="1" applyBorder="1" applyAlignment="1">
      <alignment horizontal="center"/>
    </xf>
    <xf numFmtId="49" fontId="9" fillId="3" borderId="45" xfId="0" applyNumberFormat="1" applyFont="1" applyFill="1" applyBorder="1" applyAlignment="1">
      <alignment horizontal="left" indent="1"/>
    </xf>
    <xf numFmtId="165" fontId="8" fillId="3" borderId="45" xfId="1" applyNumberFormat="1" applyFont="1" applyFill="1" applyBorder="1"/>
    <xf numFmtId="0" fontId="9" fillId="4" borderId="15" xfId="0" applyFont="1" applyFill="1" applyBorder="1" applyAlignment="1">
      <alignment horizontal="center"/>
    </xf>
    <xf numFmtId="49" fontId="9" fillId="4" borderId="5" xfId="0" applyNumberFormat="1" applyFont="1" applyFill="1" applyBorder="1" applyAlignment="1">
      <alignment horizontal="left" indent="1"/>
    </xf>
    <xf numFmtId="0" fontId="36" fillId="0" borderId="0" xfId="0" applyFont="1" applyAlignment="1">
      <alignment horizontal="center"/>
    </xf>
    <xf numFmtId="0" fontId="9" fillId="4" borderId="36" xfId="0" applyFont="1" applyFill="1" applyBorder="1" applyAlignment="1">
      <alignment horizontal="center"/>
    </xf>
    <xf numFmtId="49" fontId="9" fillId="4" borderId="37" xfId="0" applyNumberFormat="1" applyFont="1" applyFill="1" applyBorder="1" applyAlignment="1">
      <alignment horizontal="left" indent="1"/>
    </xf>
    <xf numFmtId="165" fontId="9" fillId="3" borderId="37" xfId="1" applyNumberFormat="1" applyFont="1" applyFill="1" applyBorder="1"/>
    <xf numFmtId="0" fontId="8" fillId="0" borderId="21" xfId="1" applyNumberFormat="1" applyFont="1" applyFill="1" applyBorder="1" applyAlignment="1">
      <alignment horizontal="center"/>
    </xf>
    <xf numFmtId="0" fontId="9" fillId="4" borderId="30" xfId="1" applyNumberFormat="1" applyFont="1" applyFill="1" applyBorder="1" applyAlignment="1">
      <alignment horizontal="center"/>
    </xf>
    <xf numFmtId="49" fontId="9" fillId="4" borderId="5" xfId="1" applyNumberFormat="1" applyFont="1" applyFill="1" applyBorder="1" applyAlignment="1">
      <alignment horizontal="left" wrapText="1" indent="1"/>
    </xf>
    <xf numFmtId="165" fontId="9" fillId="4" borderId="5" xfId="1" applyNumberFormat="1" applyFont="1" applyFill="1" applyBorder="1"/>
    <xf numFmtId="165" fontId="9" fillId="3" borderId="5" xfId="1" applyNumberFormat="1" applyFont="1" applyFill="1" applyBorder="1" applyAlignment="1">
      <alignment horizontal="center"/>
    </xf>
    <xf numFmtId="9" fontId="9" fillId="4" borderId="5" xfId="6" applyFont="1" applyFill="1" applyBorder="1" applyAlignment="1">
      <alignment horizontal="center"/>
    </xf>
    <xf numFmtId="0" fontId="8" fillId="2" borderId="33" xfId="1" applyNumberFormat="1" applyFont="1" applyFill="1" applyBorder="1" applyAlignment="1">
      <alignment horizontal="center"/>
    </xf>
    <xf numFmtId="0" fontId="9" fillId="0" borderId="14" xfId="1" applyNumberFormat="1" applyFont="1" applyFill="1" applyBorder="1" applyAlignment="1">
      <alignment horizontal="center"/>
    </xf>
    <xf numFmtId="49" fontId="8" fillId="0" borderId="42" xfId="1" applyNumberFormat="1" applyFont="1" applyFill="1" applyBorder="1" applyAlignment="1">
      <alignment horizontal="left" indent="1"/>
    </xf>
    <xf numFmtId="165" fontId="8" fillId="0" borderId="0" xfId="1" applyNumberFormat="1" applyFont="1" applyFill="1" applyBorder="1" applyAlignment="1">
      <alignment horizontal="right"/>
    </xf>
    <xf numFmtId="0" fontId="9" fillId="3" borderId="30" xfId="1" applyNumberFormat="1" applyFont="1" applyFill="1" applyBorder="1" applyAlignment="1">
      <alignment horizontal="center"/>
    </xf>
    <xf numFmtId="49" fontId="9" fillId="3" borderId="5" xfId="1" applyNumberFormat="1" applyFont="1" applyFill="1" applyBorder="1" applyAlignment="1">
      <alignment horizontal="left" indent="1"/>
    </xf>
    <xf numFmtId="165" fontId="9" fillId="3" borderId="5" xfId="1" applyNumberFormat="1" applyFont="1" applyFill="1" applyBorder="1" applyAlignment="1">
      <alignment horizontal="left" indent="1"/>
    </xf>
    <xf numFmtId="9" fontId="8" fillId="3" borderId="5" xfId="1" applyNumberFormat="1" applyFont="1" applyFill="1" applyBorder="1" applyAlignment="1">
      <alignment horizontal="center"/>
    </xf>
    <xf numFmtId="0" fontId="8" fillId="2" borderId="17" xfId="1" applyNumberFormat="1" applyFont="1" applyFill="1" applyBorder="1" applyAlignment="1">
      <alignment horizontal="center"/>
    </xf>
    <xf numFmtId="0" fontId="43" fillId="0" borderId="0" xfId="0" applyFont="1"/>
    <xf numFmtId="0" fontId="9" fillId="0" borderId="21" xfId="1" applyNumberFormat="1" applyFont="1" applyFill="1" applyBorder="1" applyAlignment="1">
      <alignment horizontal="center"/>
    </xf>
    <xf numFmtId="0" fontId="8" fillId="0" borderId="31" xfId="1" applyNumberFormat="1" applyFont="1" applyFill="1" applyBorder="1" applyAlignment="1">
      <alignment horizontal="center"/>
    </xf>
    <xf numFmtId="0" fontId="9" fillId="3" borderId="35" xfId="7" applyFont="1" applyFill="1" applyBorder="1"/>
    <xf numFmtId="49" fontId="8" fillId="3" borderId="20" xfId="7" applyNumberFormat="1" applyFont="1" applyFill="1" applyBorder="1"/>
    <xf numFmtId="49" fontId="9" fillId="0" borderId="2" xfId="1" applyNumberFormat="1" applyFont="1" applyFill="1" applyBorder="1" applyAlignment="1">
      <alignment horizontal="left" indent="1"/>
    </xf>
    <xf numFmtId="165" fontId="63" fillId="0" borderId="0" xfId="0" applyNumberFormat="1" applyFont="1"/>
    <xf numFmtId="0" fontId="63" fillId="0" borderId="0" xfId="0" applyFont="1"/>
    <xf numFmtId="17" fontId="36" fillId="0" borderId="0" xfId="0" applyNumberFormat="1" applyFont="1" applyAlignment="1">
      <alignment horizontal="center" vertical="center"/>
    </xf>
    <xf numFmtId="164" fontId="41" fillId="9" borderId="23" xfId="1" applyFont="1" applyFill="1" applyBorder="1" applyAlignment="1">
      <alignment horizontal="center"/>
    </xf>
    <xf numFmtId="0" fontId="36" fillId="0" borderId="11" xfId="0" applyFont="1" applyBorder="1" applyAlignment="1">
      <alignment horizontal="left" vertical="center" wrapText="1"/>
    </xf>
    <xf numFmtId="4" fontId="36" fillId="0" borderId="11" xfId="0" applyNumberFormat="1" applyFont="1" applyBorder="1" applyAlignment="1">
      <alignment horizontal="center" vertical="center"/>
    </xf>
    <xf numFmtId="0" fontId="37" fillId="0" borderId="14" xfId="0" applyFont="1" applyBorder="1" applyAlignment="1">
      <alignment horizontal="center"/>
    </xf>
    <xf numFmtId="49" fontId="37" fillId="0" borderId="0" xfId="0" applyNumberFormat="1" applyFont="1" applyAlignment="1">
      <alignment horizontal="left" indent="1"/>
    </xf>
    <xf numFmtId="0" fontId="32" fillId="0" borderId="0" xfId="0" applyFont="1"/>
    <xf numFmtId="0" fontId="32" fillId="0" borderId="0" xfId="0" applyFont="1" applyAlignment="1">
      <alignment horizontal="right"/>
    </xf>
    <xf numFmtId="0" fontId="10" fillId="10" borderId="7" xfId="0" applyFont="1" applyFill="1" applyBorder="1" applyAlignment="1">
      <alignment vertical="center"/>
    </xf>
    <xf numFmtId="0" fontId="10" fillId="10" borderId="8" xfId="0" applyFont="1" applyFill="1" applyBorder="1" applyAlignment="1">
      <alignment horizontal="left" vertical="center" indent="1"/>
    </xf>
    <xf numFmtId="0" fontId="18" fillId="11" borderId="8" xfId="7" applyFont="1" applyFill="1" applyBorder="1"/>
    <xf numFmtId="9" fontId="18" fillId="11" borderId="8" xfId="7" applyNumberFormat="1" applyFont="1" applyFill="1" applyBorder="1" applyAlignment="1">
      <alignment horizontal="center"/>
    </xf>
    <xf numFmtId="0" fontId="18" fillId="11" borderId="8" xfId="7" applyFont="1" applyFill="1" applyBorder="1" applyAlignment="1">
      <alignment horizontal="center"/>
    </xf>
    <xf numFmtId="0" fontId="18" fillId="11" borderId="9" xfId="7" applyFont="1" applyFill="1" applyBorder="1"/>
    <xf numFmtId="0" fontId="10" fillId="10" borderId="14" xfId="0" applyFont="1" applyFill="1" applyBorder="1" applyAlignment="1">
      <alignment vertical="center"/>
    </xf>
    <xf numFmtId="0" fontId="10" fillId="10" borderId="0" xfId="0" applyFont="1" applyFill="1" applyAlignment="1">
      <alignment horizontal="left" vertical="center" indent="1"/>
    </xf>
    <xf numFmtId="0" fontId="11" fillId="10" borderId="0" xfId="0" applyFont="1" applyFill="1" applyAlignment="1">
      <alignment horizontal="center" vertical="center"/>
    </xf>
    <xf numFmtId="0" fontId="12" fillId="10" borderId="0" xfId="0" applyFont="1" applyFill="1"/>
    <xf numFmtId="0" fontId="12" fillId="10" borderId="0" xfId="0" applyFont="1" applyFill="1" applyAlignment="1">
      <alignment horizontal="center"/>
    </xf>
    <xf numFmtId="9" fontId="12" fillId="10" borderId="0" xfId="0" applyNumberFormat="1" applyFont="1" applyFill="1" applyAlignment="1">
      <alignment horizontal="center"/>
    </xf>
    <xf numFmtId="0" fontId="18" fillId="11" borderId="11" xfId="7" applyFont="1" applyFill="1" applyBorder="1"/>
    <xf numFmtId="0" fontId="11" fillId="10" borderId="22" xfId="0" applyFont="1" applyFill="1" applyBorder="1" applyAlignment="1">
      <alignment horizontal="center" wrapText="1"/>
    </xf>
    <xf numFmtId="0" fontId="11" fillId="10" borderId="23" xfId="0" applyFont="1" applyFill="1" applyBorder="1" applyAlignment="1">
      <alignment horizontal="left" wrapText="1" indent="1"/>
    </xf>
    <xf numFmtId="0" fontId="9" fillId="10" borderId="23" xfId="0" applyFont="1" applyFill="1" applyBorder="1" applyAlignment="1">
      <alignment horizontal="center" wrapText="1"/>
    </xf>
    <xf numFmtId="9" fontId="9" fillId="10" borderId="23" xfId="0" applyNumberFormat="1" applyFont="1" applyFill="1" applyBorder="1" applyAlignment="1">
      <alignment horizontal="center" wrapText="1"/>
    </xf>
    <xf numFmtId="0" fontId="18" fillId="11" borderId="24" xfId="7" applyFont="1" applyFill="1" applyBorder="1"/>
    <xf numFmtId="0" fontId="29" fillId="10" borderId="7" xfId="0" applyFont="1" applyFill="1" applyBorder="1" applyAlignment="1">
      <alignment vertical="center"/>
    </xf>
    <xf numFmtId="0" fontId="29" fillId="10" borderId="8" xfId="0" applyFont="1" applyFill="1" applyBorder="1" applyAlignment="1">
      <alignment horizontal="left" vertical="center" indent="1"/>
    </xf>
    <xf numFmtId="0" fontId="9" fillId="10" borderId="8" xfId="0" applyFont="1" applyFill="1" applyBorder="1" applyAlignment="1">
      <alignment horizontal="center" vertical="center"/>
    </xf>
    <xf numFmtId="0" fontId="8" fillId="10" borderId="8" xfId="0" applyFont="1" applyFill="1" applyBorder="1" applyAlignment="1">
      <alignment horizontal="right"/>
    </xf>
    <xf numFmtId="0" fontId="8" fillId="10" borderId="8" xfId="0" applyFont="1" applyFill="1" applyBorder="1" applyAlignment="1">
      <alignment horizontal="center"/>
    </xf>
    <xf numFmtId="0" fontId="8" fillId="10" borderId="9" xfId="0" applyFont="1" applyFill="1" applyBorder="1" applyAlignment="1">
      <alignment horizontal="left" wrapText="1" indent="1"/>
    </xf>
    <xf numFmtId="0" fontId="29" fillId="10" borderId="10" xfId="0" applyFont="1" applyFill="1" applyBorder="1" applyAlignment="1">
      <alignment vertical="center"/>
    </xf>
    <xf numFmtId="0" fontId="29" fillId="10" borderId="0" xfId="0" applyFont="1" applyFill="1" applyAlignment="1">
      <alignment horizontal="left" vertical="center" indent="1"/>
    </xf>
    <xf numFmtId="0" fontId="60" fillId="10" borderId="0" xfId="0" applyFont="1" applyFill="1" applyAlignment="1">
      <alignment horizontal="left" vertical="center" indent="1"/>
    </xf>
    <xf numFmtId="0" fontId="9" fillId="10" borderId="0" xfId="0" applyFont="1" applyFill="1" applyAlignment="1">
      <alignment horizontal="center" vertical="center"/>
    </xf>
    <xf numFmtId="0" fontId="8" fillId="10" borderId="0" xfId="0" applyFont="1" applyFill="1" applyAlignment="1">
      <alignment horizontal="right"/>
    </xf>
    <xf numFmtId="0" fontId="30" fillId="10" borderId="0" xfId="0" applyFont="1" applyFill="1" applyAlignment="1">
      <alignment horizontal="center"/>
    </xf>
    <xf numFmtId="0" fontId="8" fillId="10" borderId="11" xfId="0" applyFont="1" applyFill="1" applyBorder="1" applyAlignment="1">
      <alignment horizontal="left" wrapText="1" indent="1"/>
    </xf>
    <xf numFmtId="0" fontId="9" fillId="10" borderId="22" xfId="0" applyFont="1" applyFill="1" applyBorder="1" applyAlignment="1">
      <alignment horizontal="center" wrapText="1"/>
    </xf>
    <xf numFmtId="49" fontId="9" fillId="10" borderId="23" xfId="0" applyNumberFormat="1" applyFont="1" applyFill="1" applyBorder="1" applyAlignment="1">
      <alignment horizontal="left" wrapText="1" indent="1"/>
    </xf>
    <xf numFmtId="0" fontId="9" fillId="10" borderId="23" xfId="0" applyFont="1" applyFill="1" applyBorder="1" applyAlignment="1">
      <alignment horizontal="right" wrapText="1"/>
    </xf>
    <xf numFmtId="49" fontId="9" fillId="10" borderId="24" xfId="0" applyNumberFormat="1" applyFont="1" applyFill="1" applyBorder="1" applyAlignment="1">
      <alignment horizontal="left" wrapText="1" indent="1"/>
    </xf>
    <xf numFmtId="0" fontId="10" fillId="10" borderId="26" xfId="0" applyFont="1" applyFill="1" applyBorder="1" applyAlignment="1">
      <alignment horizontal="left" vertical="center" indent="1"/>
    </xf>
    <xf numFmtId="0" fontId="11" fillId="10" borderId="8" xfId="0" applyFont="1" applyFill="1" applyBorder="1" applyAlignment="1">
      <alignment horizontal="center" vertical="center"/>
    </xf>
    <xf numFmtId="0" fontId="12" fillId="10" borderId="8" xfId="0" applyFont="1" applyFill="1" applyBorder="1"/>
    <xf numFmtId="0" fontId="12" fillId="10" borderId="8" xfId="1" applyNumberFormat="1" applyFont="1" applyFill="1" applyBorder="1" applyAlignment="1">
      <alignment horizontal="center"/>
    </xf>
    <xf numFmtId="0" fontId="12" fillId="10" borderId="9" xfId="0" applyFont="1" applyFill="1" applyBorder="1" applyAlignment="1">
      <alignment horizontal="left" indent="1"/>
    </xf>
    <xf numFmtId="0" fontId="10" fillId="10" borderId="10" xfId="0" applyFont="1" applyFill="1" applyBorder="1" applyAlignment="1">
      <alignment vertical="center"/>
    </xf>
    <xf numFmtId="0" fontId="10" fillId="10" borderId="1" xfId="0" applyFont="1" applyFill="1" applyBorder="1" applyAlignment="1">
      <alignment horizontal="left" vertical="center" indent="1"/>
    </xf>
    <xf numFmtId="0" fontId="12" fillId="10" borderId="0" xfId="1" applyNumberFormat="1" applyFont="1" applyFill="1" applyBorder="1" applyAlignment="1">
      <alignment horizontal="center"/>
    </xf>
    <xf numFmtId="0" fontId="21" fillId="10" borderId="0" xfId="0" applyFont="1" applyFill="1" applyAlignment="1">
      <alignment horizontal="center"/>
    </xf>
    <xf numFmtId="0" fontId="12" fillId="10" borderId="11" xfId="0" applyFont="1" applyFill="1" applyBorder="1" applyAlignment="1">
      <alignment horizontal="left" indent="1"/>
    </xf>
    <xf numFmtId="0" fontId="23" fillId="11" borderId="22" xfId="0" applyFont="1" applyFill="1" applyBorder="1" applyAlignment="1">
      <alignment horizontal="left"/>
    </xf>
    <xf numFmtId="0" fontId="23" fillId="11" borderId="23" xfId="0" applyFont="1" applyFill="1" applyBorder="1"/>
    <xf numFmtId="17" fontId="20" fillId="11" borderId="23" xfId="0" applyNumberFormat="1" applyFont="1" applyFill="1" applyBorder="1" applyAlignment="1">
      <alignment horizontal="center" wrapText="1"/>
    </xf>
    <xf numFmtId="0" fontId="20" fillId="11" borderId="23" xfId="0" applyFont="1" applyFill="1" applyBorder="1" applyAlignment="1">
      <alignment horizontal="center" wrapText="1"/>
    </xf>
    <xf numFmtId="49" fontId="20" fillId="11" borderId="24" xfId="0" applyNumberFormat="1" applyFont="1" applyFill="1" applyBorder="1" applyAlignment="1">
      <alignment horizontal="left" indent="1"/>
    </xf>
    <xf numFmtId="0" fontId="0" fillId="11" borderId="8" xfId="0" applyFill="1" applyBorder="1"/>
    <xf numFmtId="0" fontId="0" fillId="11" borderId="9" xfId="0" applyFill="1" applyBorder="1"/>
    <xf numFmtId="0" fontId="23" fillId="11" borderId="47" xfId="0" applyFont="1" applyFill="1" applyBorder="1" applyAlignment="1">
      <alignment horizontal="left"/>
    </xf>
    <xf numFmtId="165" fontId="64" fillId="0" borderId="0" xfId="1" applyNumberFormat="1" applyFont="1" applyFill="1" applyBorder="1"/>
    <xf numFmtId="165" fontId="68" fillId="0" borderId="0" xfId="1" applyNumberFormat="1" applyFont="1" applyFill="1" applyBorder="1"/>
    <xf numFmtId="165" fontId="66" fillId="0" borderId="0" xfId="1" applyNumberFormat="1" applyFont="1" applyFill="1" applyBorder="1"/>
    <xf numFmtId="165" fontId="67" fillId="0" borderId="0" xfId="1" applyNumberFormat="1" applyFont="1" applyFill="1" applyBorder="1"/>
    <xf numFmtId="49" fontId="66" fillId="0" borderId="11" xfId="0" applyNumberFormat="1" applyFont="1" applyBorder="1" applyAlignment="1">
      <alignment horizontal="left" wrapText="1" indent="1"/>
    </xf>
    <xf numFmtId="49" fontId="65" fillId="4" borderId="20" xfId="0" applyNumberFormat="1" applyFont="1" applyFill="1" applyBorder="1" applyAlignment="1">
      <alignment horizontal="left" indent="1"/>
    </xf>
    <xf numFmtId="0" fontId="13" fillId="0" borderId="0" xfId="0" applyFont="1"/>
    <xf numFmtId="0" fontId="69" fillId="0" borderId="0" xfId="0" applyFont="1"/>
    <xf numFmtId="49" fontId="64" fillId="3" borderId="38" xfId="0" applyNumberFormat="1" applyFont="1" applyFill="1" applyBorder="1" applyAlignment="1">
      <alignment horizontal="left" indent="1"/>
    </xf>
    <xf numFmtId="49" fontId="70" fillId="0" borderId="11" xfId="0" applyNumberFormat="1" applyFont="1" applyBorder="1" applyAlignment="1">
      <alignment horizontal="left" wrapText="1" indent="1"/>
    </xf>
    <xf numFmtId="0" fontId="13" fillId="0" borderId="24" xfId="0" applyFont="1" applyBorder="1"/>
    <xf numFmtId="49" fontId="66" fillId="3" borderId="46" xfId="0" applyNumberFormat="1" applyFont="1" applyFill="1" applyBorder="1" applyAlignment="1">
      <alignment horizontal="left" wrapText="1" indent="1"/>
    </xf>
    <xf numFmtId="49" fontId="64" fillId="4" borderId="16" xfId="0" applyNumberFormat="1" applyFont="1" applyFill="1" applyBorder="1" applyAlignment="1">
      <alignment horizontal="left" indent="1"/>
    </xf>
    <xf numFmtId="49" fontId="13" fillId="0" borderId="0" xfId="0" applyNumberFormat="1" applyFont="1" applyAlignment="1">
      <alignment horizontal="left" indent="1"/>
    </xf>
    <xf numFmtId="49" fontId="64" fillId="4" borderId="38" xfId="0" applyNumberFormat="1" applyFont="1" applyFill="1" applyBorder="1" applyAlignment="1">
      <alignment horizontal="left" indent="1"/>
    </xf>
    <xf numFmtId="165" fontId="67" fillId="0" borderId="0" xfId="1" applyNumberFormat="1" applyFont="1" applyFill="1" applyBorder="1" applyAlignment="1">
      <alignment horizontal="center"/>
    </xf>
    <xf numFmtId="49" fontId="66" fillId="0" borderId="11" xfId="1" applyNumberFormat="1" applyFont="1" applyFill="1" applyBorder="1" applyAlignment="1">
      <alignment horizontal="left" wrapText="1" indent="1"/>
    </xf>
    <xf numFmtId="49" fontId="66" fillId="2" borderId="20" xfId="1" applyNumberFormat="1" applyFont="1" applyFill="1" applyBorder="1" applyAlignment="1">
      <alignment horizontal="left" indent="1"/>
    </xf>
    <xf numFmtId="165" fontId="67" fillId="0" borderId="0" xfId="1" applyNumberFormat="1" applyFont="1" applyFill="1" applyBorder="1" applyAlignment="1">
      <alignment horizontal="right"/>
    </xf>
    <xf numFmtId="49" fontId="66" fillId="3" borderId="16" xfId="1" applyNumberFormat="1" applyFont="1" applyFill="1" applyBorder="1" applyAlignment="1">
      <alignment horizontal="left" wrapText="1" indent="1"/>
    </xf>
    <xf numFmtId="49" fontId="71" fillId="0" borderId="11" xfId="1" applyNumberFormat="1" applyFont="1" applyFill="1" applyBorder="1" applyAlignment="1">
      <alignment horizontal="left" wrapText="1" indent="1"/>
    </xf>
    <xf numFmtId="49" fontId="71" fillId="0" borderId="11" xfId="1" applyNumberFormat="1" applyFont="1" applyFill="1" applyBorder="1" applyAlignment="1">
      <alignment horizontal="left" indent="1"/>
    </xf>
    <xf numFmtId="165" fontId="72" fillId="0" borderId="0" xfId="1" applyNumberFormat="1" applyFont="1" applyFill="1" applyBorder="1"/>
    <xf numFmtId="9" fontId="72" fillId="0" borderId="0" xfId="6" applyFont="1" applyFill="1" applyBorder="1"/>
    <xf numFmtId="165" fontId="8" fillId="0" borderId="53" xfId="1" applyNumberFormat="1" applyFont="1" applyFill="1" applyBorder="1" applyAlignment="1">
      <alignment horizontal="center"/>
    </xf>
    <xf numFmtId="165" fontId="33" fillId="0" borderId="4" xfId="1" applyNumberFormat="1" applyFont="1" applyFill="1" applyBorder="1" applyAlignment="1">
      <alignment horizontal="right"/>
    </xf>
    <xf numFmtId="165" fontId="26" fillId="0" borderId="43" xfId="1" applyNumberFormat="1" applyFont="1" applyFill="1" applyBorder="1" applyAlignment="1">
      <alignment horizontal="right"/>
    </xf>
    <xf numFmtId="165" fontId="26" fillId="0" borderId="0" xfId="1" applyNumberFormat="1" applyFont="1" applyFill="1" applyBorder="1" applyAlignment="1">
      <alignment horizontal="right"/>
    </xf>
    <xf numFmtId="165" fontId="33" fillId="0" borderId="0" xfId="1" applyNumberFormat="1" applyFont="1" applyFill="1" applyBorder="1" applyAlignment="1">
      <alignment horizontal="right"/>
    </xf>
    <xf numFmtId="165" fontId="33" fillId="0" borderId="43" xfId="1" applyNumberFormat="1" applyFont="1" applyFill="1" applyBorder="1" applyAlignment="1">
      <alignment horizontal="right"/>
    </xf>
    <xf numFmtId="165" fontId="33" fillId="3" borderId="5" xfId="1" applyNumberFormat="1" applyFont="1" applyFill="1" applyBorder="1" applyAlignment="1">
      <alignment horizontal="right"/>
    </xf>
    <xf numFmtId="165" fontId="33" fillId="6" borderId="19" xfId="1" applyNumberFormat="1" applyFont="1" applyFill="1" applyBorder="1" applyAlignment="1">
      <alignment horizontal="right"/>
    </xf>
    <xf numFmtId="165" fontId="11" fillId="0" borderId="4" xfId="1" applyNumberFormat="1" applyFont="1" applyFill="1" applyBorder="1" applyAlignment="1">
      <alignment horizontal="center"/>
    </xf>
    <xf numFmtId="165" fontId="12" fillId="0" borderId="43" xfId="1" applyNumberFormat="1" applyFont="1" applyFill="1" applyBorder="1" applyAlignment="1">
      <alignment horizontal="center"/>
    </xf>
    <xf numFmtId="165" fontId="11" fillId="0" borderId="0" xfId="1" applyNumberFormat="1" applyFont="1" applyFill="1" applyBorder="1" applyAlignment="1">
      <alignment horizontal="center"/>
    </xf>
    <xf numFmtId="165" fontId="9" fillId="0" borderId="43" xfId="1" applyNumberFormat="1" applyFont="1" applyFill="1" applyBorder="1" applyAlignment="1">
      <alignment horizontal="center"/>
    </xf>
    <xf numFmtId="165" fontId="11" fillId="2" borderId="19" xfId="1" applyNumberFormat="1" applyFont="1" applyFill="1" applyBorder="1"/>
    <xf numFmtId="9" fontId="11" fillId="0" borderId="4" xfId="6" applyFont="1" applyFill="1" applyBorder="1" applyAlignment="1">
      <alignment horizontal="center"/>
    </xf>
    <xf numFmtId="9" fontId="11" fillId="0" borderId="0" xfId="6" applyFont="1" applyFill="1" applyBorder="1" applyAlignment="1">
      <alignment horizontal="center"/>
    </xf>
    <xf numFmtId="9" fontId="11" fillId="0" borderId="43" xfId="6" applyFont="1" applyFill="1" applyBorder="1" applyAlignment="1">
      <alignment horizontal="center"/>
    </xf>
    <xf numFmtId="9" fontId="11" fillId="2" borderId="19" xfId="6" applyFont="1" applyFill="1" applyBorder="1" applyAlignment="1">
      <alignment horizontal="center"/>
    </xf>
    <xf numFmtId="10" fontId="8" fillId="0" borderId="0" xfId="1" applyNumberFormat="1" applyFont="1" applyFill="1" applyBorder="1" applyAlignment="1">
      <alignment horizontal="center"/>
    </xf>
    <xf numFmtId="165" fontId="33" fillId="0" borderId="0" xfId="1" applyNumberFormat="1" applyFont="1" applyFill="1" applyBorder="1" applyAlignment="1">
      <alignment horizontal="center"/>
    </xf>
    <xf numFmtId="165" fontId="33" fillId="0" borderId="5" xfId="1" applyNumberFormat="1" applyFont="1" applyFill="1" applyBorder="1"/>
    <xf numFmtId="165" fontId="33" fillId="6" borderId="5" xfId="1" applyNumberFormat="1" applyFont="1" applyFill="1" applyBorder="1"/>
    <xf numFmtId="165" fontId="33" fillId="0" borderId="0" xfId="1" applyNumberFormat="1" applyFont="1" applyFill="1" applyBorder="1"/>
    <xf numFmtId="165" fontId="33" fillId="3" borderId="19" xfId="1" applyNumberFormat="1" applyFont="1" applyFill="1" applyBorder="1"/>
    <xf numFmtId="165" fontId="33" fillId="3" borderId="5" xfId="1" applyNumberFormat="1" applyFont="1" applyFill="1" applyBorder="1" applyAlignment="1">
      <alignment horizontal="center"/>
    </xf>
    <xf numFmtId="165" fontId="33" fillId="6" borderId="19" xfId="1" applyNumberFormat="1" applyFont="1" applyFill="1" applyBorder="1"/>
    <xf numFmtId="165" fontId="11" fillId="0" borderId="4" xfId="1" applyNumberFormat="1" applyFont="1" applyFill="1" applyBorder="1"/>
    <xf numFmtId="165" fontId="11" fillId="0" borderId="5" xfId="1" applyNumberFormat="1" applyFont="1" applyFill="1" applyBorder="1"/>
    <xf numFmtId="165" fontId="33" fillId="0" borderId="4" xfId="1" applyNumberFormat="1" applyFont="1" applyFill="1" applyBorder="1"/>
    <xf numFmtId="9" fontId="11" fillId="0" borderId="5" xfId="6" applyFont="1" applyFill="1" applyBorder="1" applyAlignment="1">
      <alignment horizontal="center"/>
    </xf>
    <xf numFmtId="49" fontId="8" fillId="0" borderId="16" xfId="1" applyNumberFormat="1" applyFont="1" applyFill="1" applyBorder="1" applyAlignment="1">
      <alignment horizontal="center"/>
    </xf>
    <xf numFmtId="9" fontId="9" fillId="2" borderId="23" xfId="6" applyFont="1" applyFill="1" applyBorder="1" applyAlignment="1">
      <alignment horizontal="center"/>
    </xf>
    <xf numFmtId="165" fontId="44" fillId="0" borderId="0" xfId="1" applyNumberFormat="1" applyFont="1" applyFill="1" applyBorder="1"/>
    <xf numFmtId="165" fontId="45" fillId="0" borderId="0" xfId="1" applyNumberFormat="1" applyFont="1" applyFill="1" applyBorder="1"/>
    <xf numFmtId="9" fontId="44" fillId="0" borderId="0" xfId="6" applyFont="1" applyFill="1" applyBorder="1" applyAlignment="1">
      <alignment horizontal="center"/>
    </xf>
    <xf numFmtId="9" fontId="9" fillId="3" borderId="19" xfId="6" applyFont="1" applyFill="1" applyBorder="1" applyAlignment="1">
      <alignment horizontal="center"/>
    </xf>
    <xf numFmtId="9" fontId="9" fillId="3" borderId="23" xfId="6" applyFont="1" applyFill="1" applyBorder="1" applyAlignment="1">
      <alignment horizontal="center"/>
    </xf>
    <xf numFmtId="165" fontId="9" fillId="3" borderId="4" xfId="1" applyNumberFormat="1" applyFont="1" applyFill="1" applyBorder="1"/>
    <xf numFmtId="165" fontId="8" fillId="0" borderId="0" xfId="1" applyNumberFormat="1" applyFont="1" applyBorder="1"/>
    <xf numFmtId="165" fontId="9" fillId="4" borderId="43" xfId="1" applyNumberFormat="1" applyFont="1" applyFill="1" applyBorder="1"/>
    <xf numFmtId="165" fontId="9" fillId="4" borderId="19" xfId="1" applyNumberFormat="1" applyFont="1" applyFill="1" applyBorder="1"/>
    <xf numFmtId="165" fontId="9" fillId="4" borderId="23" xfId="1" applyNumberFormat="1" applyFont="1" applyFill="1" applyBorder="1"/>
    <xf numFmtId="49" fontId="8" fillId="0" borderId="0" xfId="0" applyNumberFormat="1" applyFont="1" applyAlignment="1">
      <alignment horizontal="left" wrapText="1" indent="1"/>
    </xf>
    <xf numFmtId="0" fontId="0" fillId="0" borderId="14" xfId="0" applyBorder="1" applyAlignment="1">
      <alignment horizontal="center" vertical="center"/>
    </xf>
    <xf numFmtId="4" fontId="36" fillId="0" borderId="8" xfId="0" applyNumberFormat="1" applyFont="1" applyBorder="1" applyAlignment="1">
      <alignment horizontal="center" vertical="center"/>
    </xf>
    <xf numFmtId="0" fontId="36" fillId="0" borderId="11" xfId="0" applyFont="1" applyBorder="1"/>
    <xf numFmtId="0" fontId="73" fillId="8" borderId="37" xfId="0" applyFont="1" applyFill="1" applyBorder="1" applyAlignment="1">
      <alignment horizontal="center" vertical="center" wrapText="1"/>
    </xf>
    <xf numFmtId="0" fontId="36" fillId="0" borderId="30" xfId="0" applyFont="1" applyBorder="1" applyAlignment="1">
      <alignment vertical="center" wrapText="1"/>
    </xf>
    <xf numFmtId="0" fontId="36" fillId="0" borderId="0" xfId="0" applyFont="1" applyAlignment="1">
      <alignment vertical="center" wrapText="1"/>
    </xf>
    <xf numFmtId="2" fontId="50" fillId="0" borderId="0" xfId="0" applyNumberFormat="1" applyFont="1" applyAlignment="1">
      <alignment vertical="center" wrapText="1"/>
    </xf>
    <xf numFmtId="0" fontId="50" fillId="0" borderId="0" xfId="0" applyFont="1"/>
    <xf numFmtId="0" fontId="9" fillId="0" borderId="12" xfId="1" applyNumberFormat="1" applyFont="1" applyFill="1" applyBorder="1" applyAlignment="1">
      <alignment horizontal="center"/>
    </xf>
    <xf numFmtId="165" fontId="34" fillId="0" borderId="4" xfId="1" applyNumberFormat="1" applyFont="1" applyFill="1" applyBorder="1"/>
    <xf numFmtId="165" fontId="34" fillId="0" borderId="5" xfId="1" applyNumberFormat="1" applyFont="1" applyFill="1" applyBorder="1"/>
    <xf numFmtId="165" fontId="34" fillId="2" borderId="5" xfId="1" applyNumberFormat="1" applyFont="1" applyFill="1" applyBorder="1"/>
    <xf numFmtId="165" fontId="74" fillId="0" borderId="0" xfId="1" applyNumberFormat="1" applyFont="1" applyFill="1" applyBorder="1"/>
    <xf numFmtId="165" fontId="75" fillId="3" borderId="5" xfId="1" applyNumberFormat="1" applyFont="1" applyFill="1" applyBorder="1"/>
    <xf numFmtId="165" fontId="75" fillId="3" borderId="19" xfId="1" applyNumberFormat="1" applyFont="1" applyFill="1" applyBorder="1"/>
    <xf numFmtId="165" fontId="12" fillId="0" borderId="4" xfId="1" applyNumberFormat="1" applyFont="1" applyFill="1" applyBorder="1"/>
    <xf numFmtId="165" fontId="34" fillId="3" borderId="5" xfId="1" applyNumberFormat="1" applyFont="1" applyFill="1" applyBorder="1"/>
    <xf numFmtId="165" fontId="34" fillId="3" borderId="5" xfId="1" applyNumberFormat="1" applyFont="1" applyFill="1" applyBorder="1" applyAlignment="1">
      <alignment horizontal="left" indent="1"/>
    </xf>
    <xf numFmtId="165" fontId="75" fillId="0" borderId="0" xfId="1" applyNumberFormat="1" applyFont="1" applyFill="1" applyBorder="1"/>
    <xf numFmtId="165" fontId="34" fillId="3" borderId="19" xfId="1" applyNumberFormat="1" applyFont="1" applyFill="1" applyBorder="1"/>
    <xf numFmtId="0" fontId="37" fillId="0" borderId="31" xfId="1" applyNumberFormat="1" applyFont="1" applyFill="1" applyBorder="1" applyAlignment="1">
      <alignment horizontal="center"/>
    </xf>
    <xf numFmtId="49" fontId="38" fillId="0" borderId="0" xfId="0" applyNumberFormat="1" applyFont="1" applyAlignment="1">
      <alignment horizontal="left" wrapText="1" indent="1"/>
    </xf>
    <xf numFmtId="165" fontId="37" fillId="0" borderId="0" xfId="1" applyNumberFormat="1" applyFont="1" applyFill="1" applyBorder="1" applyAlignment="1">
      <alignment horizontal="center"/>
    </xf>
    <xf numFmtId="165" fontId="34" fillId="0" borderId="4" xfId="1" applyNumberFormat="1" applyFont="1" applyFill="1" applyBorder="1" applyAlignment="1">
      <alignment horizontal="right"/>
    </xf>
    <xf numFmtId="165" fontId="35" fillId="0" borderId="43" xfId="1" applyNumberFormat="1" applyFont="1" applyFill="1" applyBorder="1" applyAlignment="1">
      <alignment horizontal="right"/>
    </xf>
    <xf numFmtId="165" fontId="75" fillId="0" borderId="4" xfId="1" applyNumberFormat="1" applyFont="1" applyFill="1" applyBorder="1" applyAlignment="1">
      <alignment horizontal="right"/>
    </xf>
    <xf numFmtId="165" fontId="35" fillId="0" borderId="0" xfId="1" applyNumberFormat="1" applyFont="1" applyFill="1" applyBorder="1" applyAlignment="1">
      <alignment horizontal="right"/>
    </xf>
    <xf numFmtId="165" fontId="75" fillId="0" borderId="0" xfId="1" applyNumberFormat="1" applyFont="1" applyFill="1" applyBorder="1" applyAlignment="1">
      <alignment horizontal="right"/>
    </xf>
    <xf numFmtId="165" fontId="34" fillId="0" borderId="0" xfId="1" applyNumberFormat="1" applyFont="1" applyFill="1" applyBorder="1" applyAlignment="1">
      <alignment horizontal="right"/>
    </xf>
    <xf numFmtId="165" fontId="34" fillId="0" borderId="43" xfId="1" applyNumberFormat="1" applyFont="1" applyFill="1" applyBorder="1" applyAlignment="1">
      <alignment horizontal="right"/>
    </xf>
    <xf numFmtId="165" fontId="34" fillId="3" borderId="19" xfId="1" applyNumberFormat="1" applyFont="1" applyFill="1" applyBorder="1" applyAlignment="1">
      <alignment horizontal="right"/>
    </xf>
    <xf numFmtId="165" fontId="74" fillId="0" borderId="0" xfId="1" applyNumberFormat="1" applyFont="1" applyFill="1" applyBorder="1" applyAlignment="1">
      <alignment horizontal="right"/>
    </xf>
    <xf numFmtId="165" fontId="75" fillId="3" borderId="5" xfId="1" applyNumberFormat="1" applyFont="1" applyFill="1" applyBorder="1" applyAlignment="1">
      <alignment horizontal="right"/>
    </xf>
    <xf numFmtId="165" fontId="75" fillId="3" borderId="19" xfId="1" applyNumberFormat="1" applyFont="1" applyFill="1" applyBorder="1" applyAlignment="1">
      <alignment horizontal="right"/>
    </xf>
    <xf numFmtId="2" fontId="53" fillId="8" borderId="24" xfId="1" applyNumberFormat="1" applyFont="1" applyFill="1" applyBorder="1" applyAlignment="1">
      <alignment horizontal="center" vertical="center"/>
    </xf>
    <xf numFmtId="165" fontId="34" fillId="3" borderId="4" xfId="1" applyNumberFormat="1" applyFont="1" applyFill="1" applyBorder="1"/>
    <xf numFmtId="165" fontId="35" fillId="0" borderId="0" xfId="1" applyNumberFormat="1" applyFont="1" applyBorder="1"/>
    <xf numFmtId="165" fontId="34" fillId="4" borderId="23" xfId="1" applyNumberFormat="1" applyFont="1" applyFill="1" applyBorder="1"/>
    <xf numFmtId="165" fontId="75" fillId="0" borderId="5" xfId="1" applyNumberFormat="1" applyFont="1" applyFill="1" applyBorder="1"/>
    <xf numFmtId="165" fontId="75" fillId="4" borderId="43" xfId="1" applyNumberFormat="1" applyFont="1" applyFill="1" applyBorder="1"/>
    <xf numFmtId="165" fontId="75" fillId="4" borderId="19" xfId="1" applyNumberFormat="1" applyFont="1" applyFill="1" applyBorder="1"/>
    <xf numFmtId="49" fontId="68" fillId="2" borderId="16" xfId="1" applyNumberFormat="1" applyFont="1" applyFill="1" applyBorder="1" applyAlignment="1">
      <alignment horizontal="left" indent="1"/>
    </xf>
    <xf numFmtId="49" fontId="71" fillId="4" borderId="16" xfId="1" applyNumberFormat="1" applyFont="1" applyFill="1" applyBorder="1" applyAlignment="1">
      <alignment horizontal="left" wrapText="1" indent="1"/>
    </xf>
    <xf numFmtId="49" fontId="71" fillId="2" borderId="20" xfId="1" applyNumberFormat="1" applyFont="1" applyFill="1" applyBorder="1" applyAlignment="1">
      <alignment horizontal="left" indent="1"/>
    </xf>
    <xf numFmtId="49" fontId="68" fillId="4" borderId="16" xfId="1" applyNumberFormat="1" applyFont="1" applyFill="1" applyBorder="1" applyAlignment="1">
      <alignment horizontal="left" indent="1"/>
    </xf>
    <xf numFmtId="165" fontId="33" fillId="3" borderId="19" xfId="1" applyNumberFormat="1" applyFont="1" applyFill="1" applyBorder="1" applyAlignment="1">
      <alignment horizontal="right"/>
    </xf>
    <xf numFmtId="17" fontId="0" fillId="0" borderId="50" xfId="0" applyNumberFormat="1" applyBorder="1" applyAlignment="1">
      <alignment vertical="center" wrapText="1"/>
    </xf>
    <xf numFmtId="17" fontId="0" fillId="0" borderId="52" xfId="0" applyNumberFormat="1" applyBorder="1" applyAlignment="1">
      <alignment vertical="center" wrapText="1"/>
    </xf>
    <xf numFmtId="0" fontId="76" fillId="0" borderId="0" xfId="0" applyFont="1" applyAlignment="1">
      <alignment vertical="center" wrapText="1"/>
    </xf>
    <xf numFmtId="165" fontId="33" fillId="3" borderId="4" xfId="1" applyNumberFormat="1" applyFont="1" applyFill="1" applyBorder="1"/>
    <xf numFmtId="165" fontId="26" fillId="0" borderId="0" xfId="1" applyNumberFormat="1" applyFont="1" applyBorder="1"/>
    <xf numFmtId="165" fontId="33" fillId="3" borderId="5" xfId="1" applyNumberFormat="1" applyFont="1" applyFill="1" applyBorder="1"/>
    <xf numFmtId="0" fontId="33" fillId="0" borderId="0" xfId="7" applyFont="1"/>
    <xf numFmtId="165" fontId="33" fillId="4" borderId="23" xfId="1" applyNumberFormat="1" applyFont="1" applyFill="1" applyBorder="1"/>
    <xf numFmtId="165" fontId="33" fillId="4" borderId="43" xfId="1" applyNumberFormat="1" applyFont="1" applyFill="1" applyBorder="1"/>
    <xf numFmtId="165" fontId="33" fillId="4" borderId="19" xfId="1" applyNumberFormat="1" applyFont="1" applyFill="1" applyBorder="1"/>
    <xf numFmtId="9" fontId="18" fillId="3" borderId="4" xfId="1" applyNumberFormat="1" applyFont="1" applyFill="1" applyBorder="1" applyAlignment="1">
      <alignment horizontal="center"/>
    </xf>
    <xf numFmtId="9" fontId="18" fillId="0" borderId="0" xfId="1" applyNumberFormat="1" applyFont="1" applyFill="1" applyBorder="1" applyAlignment="1">
      <alignment horizontal="center"/>
    </xf>
    <xf numFmtId="9" fontId="14" fillId="0" borderId="0" xfId="1" applyNumberFormat="1" applyFont="1" applyBorder="1" applyAlignment="1">
      <alignment horizontal="center"/>
    </xf>
    <xf numFmtId="9" fontId="8" fillId="0" borderId="0" xfId="1" applyNumberFormat="1" applyFont="1" applyBorder="1" applyAlignment="1">
      <alignment horizontal="center"/>
    </xf>
    <xf numFmtId="9" fontId="18" fillId="3" borderId="5" xfId="1" applyNumberFormat="1" applyFont="1" applyFill="1" applyBorder="1" applyAlignment="1">
      <alignment horizontal="center"/>
    </xf>
    <xf numFmtId="9" fontId="18" fillId="0" borderId="0" xfId="7" applyNumberFormat="1" applyFont="1" applyAlignment="1">
      <alignment horizontal="center"/>
    </xf>
    <xf numFmtId="9" fontId="24" fillId="4" borderId="23" xfId="1" applyNumberFormat="1" applyFont="1" applyFill="1" applyBorder="1" applyAlignment="1">
      <alignment horizontal="center"/>
    </xf>
    <xf numFmtId="9" fontId="44" fillId="0" borderId="0" xfId="1" applyNumberFormat="1" applyFont="1" applyFill="1" applyBorder="1" applyAlignment="1">
      <alignment horizontal="center"/>
    </xf>
    <xf numFmtId="9" fontId="9" fillId="0" borderId="0" xfId="1" applyNumberFormat="1" applyFont="1" applyFill="1" applyBorder="1" applyAlignment="1">
      <alignment horizontal="center"/>
    </xf>
    <xf numFmtId="9" fontId="9" fillId="0" borderId="5" xfId="1" applyNumberFormat="1" applyFont="1" applyFill="1" applyBorder="1" applyAlignment="1">
      <alignment horizontal="center"/>
    </xf>
    <xf numFmtId="9" fontId="9" fillId="4" borderId="43" xfId="1" applyNumberFormat="1" applyFont="1" applyFill="1" applyBorder="1" applyAlignment="1">
      <alignment horizontal="center"/>
    </xf>
    <xf numFmtId="9" fontId="9" fillId="4" borderId="19" xfId="1" applyNumberFormat="1" applyFont="1" applyFill="1" applyBorder="1" applyAlignment="1">
      <alignment horizontal="center"/>
    </xf>
    <xf numFmtId="9" fontId="44" fillId="0" borderId="0" xfId="7" applyNumberFormat="1" applyFont="1" applyAlignment="1">
      <alignment horizontal="center"/>
    </xf>
    <xf numFmtId="9" fontId="9" fillId="3" borderId="19" xfId="1" applyNumberFormat="1" applyFont="1" applyFill="1" applyBorder="1" applyAlignment="1">
      <alignment horizontal="center"/>
    </xf>
    <xf numFmtId="165" fontId="75" fillId="0" borderId="4" xfId="1" applyNumberFormat="1" applyFont="1" applyFill="1" applyBorder="1"/>
    <xf numFmtId="165" fontId="22" fillId="0" borderId="0" xfId="1" applyNumberFormat="1" applyFont="1" applyFill="1" applyBorder="1" applyAlignment="1">
      <alignment horizontal="center"/>
    </xf>
    <xf numFmtId="0" fontId="0" fillId="0" borderId="0" xfId="0" applyAlignment="1">
      <alignment vertical="center"/>
    </xf>
    <xf numFmtId="17" fontId="0" fillId="0" borderId="0" xfId="0" applyNumberFormat="1"/>
    <xf numFmtId="40" fontId="0" fillId="0" borderId="0" xfId="0" applyNumberFormat="1"/>
    <xf numFmtId="2" fontId="53" fillId="9" borderId="23" xfId="1" applyNumberFormat="1" applyFont="1" applyFill="1" applyBorder="1" applyAlignment="1">
      <alignment horizontal="center" vertical="center"/>
    </xf>
    <xf numFmtId="49" fontId="79" fillId="0" borderId="11" xfId="0" applyNumberFormat="1" applyFont="1" applyBorder="1" applyAlignment="1">
      <alignment horizontal="left" wrapText="1" indent="1"/>
    </xf>
    <xf numFmtId="49" fontId="31" fillId="0" borderId="11" xfId="0" applyNumberFormat="1" applyFont="1" applyBorder="1" applyAlignment="1">
      <alignment horizontal="left" wrapText="1" indent="1"/>
    </xf>
    <xf numFmtId="49" fontId="31" fillId="0" borderId="11" xfId="1" applyNumberFormat="1" applyFont="1" applyFill="1" applyBorder="1" applyAlignment="1">
      <alignment horizontal="left" indent="1"/>
    </xf>
    <xf numFmtId="49" fontId="81" fillId="0" borderId="13" xfId="1" applyNumberFormat="1" applyFont="1" applyFill="1" applyBorder="1" applyAlignment="1">
      <alignment horizontal="left" wrapText="1" indent="1"/>
    </xf>
    <xf numFmtId="49" fontId="81" fillId="0" borderId="11" xfId="1" applyNumberFormat="1" applyFont="1" applyFill="1" applyBorder="1" applyAlignment="1">
      <alignment horizontal="left" wrapText="1" indent="1"/>
    </xf>
    <xf numFmtId="49" fontId="31" fillId="0" borderId="13" xfId="1" applyNumberFormat="1" applyFont="1" applyFill="1" applyBorder="1" applyAlignment="1">
      <alignment horizontal="left" wrapText="1" indent="1"/>
    </xf>
    <xf numFmtId="49" fontId="81" fillId="0" borderId="11" xfId="1" applyNumberFormat="1" applyFont="1" applyFill="1" applyBorder="1" applyAlignment="1">
      <alignment horizontal="left" indent="1"/>
    </xf>
    <xf numFmtId="49" fontId="31" fillId="0" borderId="13" xfId="1" applyNumberFormat="1" applyFont="1" applyFill="1" applyBorder="1" applyAlignment="1">
      <alignment horizontal="left" indent="1"/>
    </xf>
    <xf numFmtId="49" fontId="80" fillId="0" borderId="11" xfId="1" applyNumberFormat="1" applyFont="1" applyFill="1" applyBorder="1" applyAlignment="1">
      <alignment horizontal="left" indent="1"/>
    </xf>
    <xf numFmtId="49" fontId="80" fillId="0" borderId="13" xfId="1" applyNumberFormat="1" applyFont="1" applyFill="1" applyBorder="1" applyAlignment="1">
      <alignment horizontal="left" wrapText="1" indent="1"/>
    </xf>
    <xf numFmtId="49" fontId="31" fillId="0" borderId="11" xfId="1" applyNumberFormat="1" applyFont="1" applyFill="1" applyBorder="1" applyAlignment="1">
      <alignment horizontal="left" wrapText="1" indent="1"/>
    </xf>
    <xf numFmtId="49" fontId="80" fillId="0" borderId="16" xfId="1" applyNumberFormat="1" applyFont="1" applyFill="1" applyBorder="1" applyAlignment="1">
      <alignment horizontal="left" wrapText="1" indent="1"/>
    </xf>
    <xf numFmtId="49" fontId="82" fillId="0" borderId="13" xfId="1" applyNumberFormat="1" applyFont="1" applyFill="1" applyBorder="1" applyAlignment="1">
      <alignment horizontal="left" indent="1"/>
    </xf>
    <xf numFmtId="49" fontId="80" fillId="0" borderId="11" xfId="1" applyNumberFormat="1" applyFont="1" applyFill="1" applyBorder="1" applyAlignment="1">
      <alignment horizontal="left" wrapText="1" indent="1"/>
    </xf>
    <xf numFmtId="0" fontId="83" fillId="0" borderId="0" xfId="0" applyFont="1" applyAlignment="1">
      <alignment horizontal="justify" vertical="center"/>
    </xf>
    <xf numFmtId="0" fontId="83" fillId="0" borderId="0" xfId="0" applyFont="1" applyAlignment="1">
      <alignment wrapText="1"/>
    </xf>
    <xf numFmtId="0" fontId="78" fillId="0" borderId="11" xfId="0" applyFont="1" applyBorder="1" applyAlignment="1">
      <alignment horizontal="center" vertical="center" wrapText="1"/>
    </xf>
    <xf numFmtId="0" fontId="78" fillId="0" borderId="0" xfId="0" applyFont="1" applyAlignment="1">
      <alignment horizontal="center" vertical="center" wrapText="1"/>
    </xf>
    <xf numFmtId="0" fontId="78" fillId="0" borderId="0" xfId="0" applyFont="1"/>
    <xf numFmtId="0" fontId="78" fillId="0" borderId="0" xfId="0" applyFont="1" applyAlignment="1">
      <alignment horizontal="center" vertical="center"/>
    </xf>
    <xf numFmtId="0" fontId="83" fillId="0" borderId="8" xfId="0" applyFont="1" applyBorder="1" applyAlignment="1">
      <alignment horizontal="center" vertical="center"/>
    </xf>
    <xf numFmtId="0" fontId="83" fillId="0" borderId="0" xfId="0" applyFont="1"/>
    <xf numFmtId="0" fontId="84" fillId="0" borderId="0" xfId="0" applyFont="1" applyAlignment="1">
      <alignment horizontal="center" vertical="center" wrapText="1"/>
    </xf>
    <xf numFmtId="0" fontId="83" fillId="0" borderId="0" xfId="0" applyFont="1" applyAlignment="1">
      <alignment horizontal="center" vertical="center" wrapText="1"/>
    </xf>
    <xf numFmtId="0" fontId="78" fillId="0" borderId="0" xfId="0" applyFont="1" applyAlignment="1">
      <alignment vertical="center" wrapText="1"/>
    </xf>
    <xf numFmtId="0" fontId="78" fillId="0" borderId="0" xfId="0" applyFont="1" applyAlignment="1">
      <alignment horizontal="left" vertical="center" wrapText="1"/>
    </xf>
    <xf numFmtId="0" fontId="84" fillId="0" borderId="0" xfId="0" applyFont="1" applyAlignment="1">
      <alignment horizontal="left" vertical="center" wrapText="1"/>
    </xf>
    <xf numFmtId="0" fontId="85" fillId="0" borderId="13" xfId="0" applyFont="1" applyBorder="1"/>
    <xf numFmtId="49" fontId="86" fillId="0" borderId="11" xfId="1" applyNumberFormat="1" applyFont="1" applyFill="1" applyBorder="1" applyAlignment="1">
      <alignment horizontal="left" wrapText="1" indent="1"/>
    </xf>
    <xf numFmtId="49" fontId="81" fillId="0" borderId="16" xfId="1" applyNumberFormat="1" applyFont="1" applyFill="1" applyBorder="1" applyAlignment="1">
      <alignment horizontal="left" indent="1"/>
    </xf>
    <xf numFmtId="49" fontId="81" fillId="0" borderId="25" xfId="1" applyNumberFormat="1" applyFont="1" applyFill="1" applyBorder="1" applyAlignment="1">
      <alignment horizontal="left" indent="1"/>
    </xf>
    <xf numFmtId="49" fontId="87" fillId="2" borderId="27" xfId="1" applyNumberFormat="1" applyFont="1" applyFill="1" applyBorder="1" applyAlignment="1">
      <alignment horizontal="left" indent="1"/>
    </xf>
    <xf numFmtId="49" fontId="31" fillId="3" borderId="16" xfId="1" applyNumberFormat="1" applyFont="1" applyFill="1" applyBorder="1" applyAlignment="1">
      <alignment horizontal="left" wrapText="1" indent="1"/>
    </xf>
    <xf numFmtId="49" fontId="31" fillId="2" borderId="20" xfId="1" applyNumberFormat="1" applyFont="1" applyFill="1" applyBorder="1" applyAlignment="1">
      <alignment horizontal="left" indent="1"/>
    </xf>
    <xf numFmtId="49" fontId="81" fillId="2" borderId="20" xfId="1" applyNumberFormat="1" applyFont="1" applyFill="1" applyBorder="1" applyAlignment="1">
      <alignment horizontal="left" indent="1"/>
    </xf>
    <xf numFmtId="49" fontId="86" fillId="0" borderId="11" xfId="1" applyNumberFormat="1" applyFont="1" applyFill="1" applyBorder="1" applyAlignment="1">
      <alignment horizontal="left" indent="1"/>
    </xf>
    <xf numFmtId="49" fontId="88" fillId="2" borderId="20" xfId="1" applyNumberFormat="1" applyFont="1" applyFill="1" applyBorder="1" applyAlignment="1">
      <alignment horizontal="left" indent="1"/>
    </xf>
    <xf numFmtId="49" fontId="81" fillId="0" borderId="25" xfId="1" applyNumberFormat="1" applyFont="1" applyFill="1" applyBorder="1" applyAlignment="1">
      <alignment horizontal="left" wrapText="1" indent="1"/>
    </xf>
    <xf numFmtId="49" fontId="81" fillId="2" borderId="20" xfId="1" applyNumberFormat="1" applyFont="1" applyFill="1" applyBorder="1" applyAlignment="1">
      <alignment horizontal="left" wrapText="1" indent="1"/>
    </xf>
    <xf numFmtId="49" fontId="87" fillId="2" borderId="27" xfId="1" applyNumberFormat="1" applyFont="1" applyFill="1" applyBorder="1" applyAlignment="1">
      <alignment horizontal="left" wrapText="1" indent="1"/>
    </xf>
    <xf numFmtId="2" fontId="0" fillId="0" borderId="0" xfId="6" applyNumberFormat="1" applyFont="1" applyAlignment="1">
      <alignment horizontal="center"/>
    </xf>
    <xf numFmtId="0" fontId="78" fillId="0" borderId="11" xfId="0" applyFont="1" applyBorder="1" applyAlignment="1">
      <alignment horizontal="left" wrapText="1" indent="1"/>
    </xf>
    <xf numFmtId="165" fontId="44" fillId="0" borderId="0" xfId="1" applyNumberFormat="1" applyFont="1" applyFill="1" applyBorder="1" applyAlignment="1">
      <alignment horizontal="right"/>
    </xf>
    <xf numFmtId="165" fontId="45" fillId="0" borderId="0" xfId="1" applyNumberFormat="1" applyFont="1" applyFill="1" applyBorder="1" applyAlignment="1">
      <alignment horizontal="right"/>
    </xf>
    <xf numFmtId="0" fontId="44" fillId="0" borderId="14" xfId="1" applyNumberFormat="1" applyFont="1" applyFill="1" applyBorder="1" applyAlignment="1">
      <alignment horizontal="center"/>
    </xf>
    <xf numFmtId="49" fontId="45" fillId="0" borderId="2" xfId="1" applyNumberFormat="1" applyFont="1" applyFill="1" applyBorder="1" applyAlignment="1">
      <alignment horizontal="left" indent="1"/>
    </xf>
    <xf numFmtId="0" fontId="4" fillId="0" borderId="0" xfId="0" applyFont="1"/>
    <xf numFmtId="0" fontId="3" fillId="0" borderId="0" xfId="0" applyFont="1"/>
    <xf numFmtId="0" fontId="83" fillId="0" borderId="0" xfId="0" applyFont="1" applyAlignment="1">
      <alignment vertical="center" wrapText="1"/>
    </xf>
    <xf numFmtId="0" fontId="77" fillId="9" borderId="23" xfId="0" applyFont="1" applyFill="1" applyBorder="1" applyAlignment="1">
      <alignment horizontal="right" vertical="center"/>
    </xf>
    <xf numFmtId="0" fontId="2" fillId="0" borderId="0" xfId="0" applyFont="1"/>
    <xf numFmtId="0" fontId="0" fillId="0" borderId="21" xfId="0" applyBorder="1"/>
    <xf numFmtId="0" fontId="8" fillId="0" borderId="0" xfId="7" applyFont="1"/>
    <xf numFmtId="0" fontId="8" fillId="0" borderId="3" xfId="7" applyFont="1" applyBorder="1" applyAlignment="1">
      <alignment horizontal="center"/>
    </xf>
    <xf numFmtId="0" fontId="25" fillId="7" borderId="0" xfId="0" applyFont="1" applyFill="1" applyAlignment="1">
      <alignment horizontal="left"/>
    </xf>
    <xf numFmtId="0" fontId="32" fillId="7" borderId="0" xfId="0" applyFont="1" applyFill="1" applyAlignment="1">
      <alignment horizontal="center"/>
    </xf>
    <xf numFmtId="0" fontId="1" fillId="0" borderId="0" xfId="0" applyFont="1"/>
  </cellXfs>
  <cellStyles count="286">
    <cellStyle name="Comma" xfId="1" builtinId="3"/>
    <cellStyle name="Comma 2" xfId="284" xr:uid="{6409BD8F-8951-4E7E-B987-F4BC5D0F8784}"/>
    <cellStyle name="Comma 2 2" xfId="285" xr:uid="{EA334973-6045-4441-A08D-A95EAA5516FA}"/>
    <cellStyle name="Followed Hyperlink" xfId="73" builtinId="9" hidden="1"/>
    <cellStyle name="Followed Hyperlink" xfId="35" builtinId="9" hidden="1"/>
    <cellStyle name="Followed Hyperlink" xfId="47" builtinId="9" hidden="1"/>
    <cellStyle name="Followed Hyperlink" xfId="57" builtinId="9" hidden="1"/>
    <cellStyle name="Followed Hyperlink" xfId="67" builtinId="9" hidden="1"/>
    <cellStyle name="Followed Hyperlink" xfId="53" builtinId="9" hidden="1"/>
    <cellStyle name="Followed Hyperlink" xfId="15" builtinId="9" hidden="1"/>
    <cellStyle name="Followed Hyperlink" xfId="23" builtinId="9" hidden="1"/>
    <cellStyle name="Followed Hyperlink" xfId="11" builtinId="9" hidden="1"/>
    <cellStyle name="Followed Hyperlink" xfId="5" builtinId="9" hidden="1"/>
    <cellStyle name="Followed Hyperlink" xfId="25" builtinId="9" hidden="1"/>
    <cellStyle name="Followed Hyperlink" xfId="17" builtinId="9" hidden="1"/>
    <cellStyle name="Followed Hyperlink" xfId="45" builtinId="9" hidden="1"/>
    <cellStyle name="Followed Hyperlink" xfId="71" builtinId="9" hidden="1"/>
    <cellStyle name="Followed Hyperlink" xfId="59" builtinId="9" hidden="1"/>
    <cellStyle name="Followed Hyperlink" xfId="49" builtinId="9" hidden="1"/>
    <cellStyle name="Followed Hyperlink" xfId="39" builtinId="9" hidden="1"/>
    <cellStyle name="Followed Hyperlink" xfId="27" builtinId="9" hidden="1"/>
    <cellStyle name="Followed Hyperlink" xfId="85" builtinId="9" hidden="1"/>
    <cellStyle name="Followed Hyperlink" xfId="101" builtinId="9" hidden="1"/>
    <cellStyle name="Followed Hyperlink" xfId="117" builtinId="9" hidden="1"/>
    <cellStyle name="Followed Hyperlink" xfId="133" builtinId="9" hidden="1"/>
    <cellStyle name="Followed Hyperlink" xfId="149" builtinId="9" hidden="1"/>
    <cellStyle name="Followed Hyperlink" xfId="165" builtinId="9" hidden="1"/>
    <cellStyle name="Followed Hyperlink" xfId="181" builtinId="9" hidden="1"/>
    <cellStyle name="Followed Hyperlink" xfId="197" builtinId="9" hidden="1"/>
    <cellStyle name="Followed Hyperlink" xfId="213" builtinId="9" hidden="1"/>
    <cellStyle name="Followed Hyperlink" xfId="229" builtinId="9" hidden="1"/>
    <cellStyle name="Followed Hyperlink" xfId="245" builtinId="9" hidden="1"/>
    <cellStyle name="Followed Hyperlink" xfId="261" builtinId="9" hidden="1"/>
    <cellStyle name="Followed Hyperlink" xfId="277" builtinId="9" hidden="1"/>
    <cellStyle name="Followed Hyperlink" xfId="275" builtinId="9" hidden="1"/>
    <cellStyle name="Followed Hyperlink" xfId="259" builtinId="9" hidden="1"/>
    <cellStyle name="Followed Hyperlink" xfId="243" builtinId="9" hidden="1"/>
    <cellStyle name="Followed Hyperlink" xfId="227" builtinId="9" hidden="1"/>
    <cellStyle name="Followed Hyperlink" xfId="211" builtinId="9" hidden="1"/>
    <cellStyle name="Followed Hyperlink" xfId="127" builtinId="9" hidden="1"/>
    <cellStyle name="Followed Hyperlink" xfId="135" builtinId="9" hidden="1"/>
    <cellStyle name="Followed Hyperlink" xfId="147" builtinId="9" hidden="1"/>
    <cellStyle name="Followed Hyperlink" xfId="159" builtinId="9" hidden="1"/>
    <cellStyle name="Followed Hyperlink" xfId="167" builtinId="9" hidden="1"/>
    <cellStyle name="Followed Hyperlink" xfId="179" builtinId="9" hidden="1"/>
    <cellStyle name="Followed Hyperlink" xfId="191" builtinId="9" hidden="1"/>
    <cellStyle name="Followed Hyperlink" xfId="199" builtinId="9" hidden="1"/>
    <cellStyle name="Followed Hyperlink" xfId="203" builtinId="9" hidden="1"/>
    <cellStyle name="Followed Hyperlink" xfId="171" builtinId="9" hidden="1"/>
    <cellStyle name="Followed Hyperlink" xfId="139" builtinId="9" hidden="1"/>
    <cellStyle name="Followed Hyperlink" xfId="95" builtinId="9" hidden="1"/>
    <cellStyle name="Followed Hyperlink" xfId="103" builtinId="9" hidden="1"/>
    <cellStyle name="Followed Hyperlink" xfId="111" builtinId="9" hidden="1"/>
    <cellStyle name="Followed Hyperlink" xfId="91" builtinId="9" hidden="1"/>
    <cellStyle name="Followed Hyperlink" xfId="87" builtinId="9" hidden="1"/>
    <cellStyle name="Followed Hyperlink" xfId="75" builtinId="9" hidden="1"/>
    <cellStyle name="Followed Hyperlink" xfId="79" builtinId="9" hidden="1"/>
    <cellStyle name="Followed Hyperlink" xfId="83" builtinId="9" hidden="1"/>
    <cellStyle name="Followed Hyperlink" xfId="115" builtinId="9" hidden="1"/>
    <cellStyle name="Followed Hyperlink" xfId="107" builtinId="9" hidden="1"/>
    <cellStyle name="Followed Hyperlink" xfId="99" builtinId="9" hidden="1"/>
    <cellStyle name="Followed Hyperlink" xfId="123" builtinId="9" hidden="1"/>
    <cellStyle name="Followed Hyperlink" xfId="155" builtinId="9" hidden="1"/>
    <cellStyle name="Followed Hyperlink" xfId="187" builtinId="9" hidden="1"/>
    <cellStyle name="Followed Hyperlink" xfId="207" builtinId="9" hidden="1"/>
    <cellStyle name="Followed Hyperlink" xfId="195" builtinId="9" hidden="1"/>
    <cellStyle name="Followed Hyperlink" xfId="183" builtinId="9" hidden="1"/>
    <cellStyle name="Followed Hyperlink" xfId="175" builtinId="9" hidden="1"/>
    <cellStyle name="Followed Hyperlink" xfId="163" builtinId="9" hidden="1"/>
    <cellStyle name="Followed Hyperlink" xfId="151" builtinId="9" hidden="1"/>
    <cellStyle name="Followed Hyperlink" xfId="143" builtinId="9" hidden="1"/>
    <cellStyle name="Followed Hyperlink" xfId="131" builtinId="9" hidden="1"/>
    <cellStyle name="Followed Hyperlink" xfId="119" builtinId="9" hidden="1"/>
    <cellStyle name="Followed Hyperlink" xfId="219" builtinId="9" hidden="1"/>
    <cellStyle name="Followed Hyperlink" xfId="235" builtinId="9" hidden="1"/>
    <cellStyle name="Followed Hyperlink" xfId="251" builtinId="9" hidden="1"/>
    <cellStyle name="Followed Hyperlink" xfId="267" builtinId="9" hidden="1"/>
    <cellStyle name="Followed Hyperlink" xfId="283" builtinId="9" hidden="1"/>
    <cellStyle name="Followed Hyperlink" xfId="269" builtinId="9" hidden="1"/>
    <cellStyle name="Followed Hyperlink" xfId="253" builtinId="9" hidden="1"/>
    <cellStyle name="Followed Hyperlink" xfId="237" builtinId="9" hidden="1"/>
    <cellStyle name="Followed Hyperlink" xfId="221" builtinId="9" hidden="1"/>
    <cellStyle name="Followed Hyperlink" xfId="205" builtinId="9" hidden="1"/>
    <cellStyle name="Followed Hyperlink" xfId="189" builtinId="9" hidden="1"/>
    <cellStyle name="Followed Hyperlink" xfId="173" builtinId="9" hidden="1"/>
    <cellStyle name="Followed Hyperlink" xfId="157" builtinId="9" hidden="1"/>
    <cellStyle name="Followed Hyperlink" xfId="141" builtinId="9" hidden="1"/>
    <cellStyle name="Followed Hyperlink" xfId="125" builtinId="9" hidden="1"/>
    <cellStyle name="Followed Hyperlink" xfId="109" builtinId="9" hidden="1"/>
    <cellStyle name="Followed Hyperlink" xfId="93" builtinId="9" hidden="1"/>
    <cellStyle name="Followed Hyperlink" xfId="77" builtinId="9" hidden="1"/>
    <cellStyle name="Followed Hyperlink" xfId="33" builtinId="9" hidden="1"/>
    <cellStyle name="Followed Hyperlink" xfId="43" builtinId="9" hidden="1"/>
    <cellStyle name="Followed Hyperlink" xfId="55" builtinId="9" hidden="1"/>
    <cellStyle name="Followed Hyperlink" xfId="65" builtinId="9" hidden="1"/>
    <cellStyle name="Followed Hyperlink" xfId="61" builtinId="9" hidden="1"/>
    <cellStyle name="Followed Hyperlink" xfId="29" builtinId="9" hidden="1"/>
    <cellStyle name="Followed Hyperlink" xfId="21" builtinId="9" hidden="1"/>
    <cellStyle name="Followed Hyperlink" xfId="9" builtinId="9" hidden="1"/>
    <cellStyle name="Followed Hyperlink" xfId="3" builtinId="9" hidden="1"/>
    <cellStyle name="Followed Hyperlink" xfId="13" builtinId="9" hidden="1"/>
    <cellStyle name="Followed Hyperlink" xfId="19" builtinId="9" hidden="1"/>
    <cellStyle name="Followed Hyperlink" xfId="37" builtinId="9" hidden="1"/>
    <cellStyle name="Followed Hyperlink" xfId="69" builtinId="9" hidden="1"/>
    <cellStyle name="Followed Hyperlink" xfId="63" builtinId="9" hidden="1"/>
    <cellStyle name="Followed Hyperlink" xfId="51" builtinId="9" hidden="1"/>
    <cellStyle name="Followed Hyperlink" xfId="41" builtinId="9" hidden="1"/>
    <cellStyle name="Followed Hyperlink" xfId="31" builtinId="9" hidden="1"/>
    <cellStyle name="Followed Hyperlink" xfId="81" builtinId="9" hidden="1"/>
    <cellStyle name="Followed Hyperlink" xfId="265" builtinId="9" hidden="1"/>
    <cellStyle name="Followed Hyperlink" xfId="249" builtinId="9" hidden="1"/>
    <cellStyle name="Followed Hyperlink" xfId="241" builtinId="9" hidden="1"/>
    <cellStyle name="Followed Hyperlink" xfId="233" builtinId="9" hidden="1"/>
    <cellStyle name="Followed Hyperlink" xfId="217" builtinId="9" hidden="1"/>
    <cellStyle name="Followed Hyperlink" xfId="209" builtinId="9" hidden="1"/>
    <cellStyle name="Followed Hyperlink" xfId="201" builtinId="9" hidden="1"/>
    <cellStyle name="Followed Hyperlink" xfId="185" builtinId="9" hidden="1"/>
    <cellStyle name="Followed Hyperlink" xfId="177" builtinId="9" hidden="1"/>
    <cellStyle name="Followed Hyperlink" xfId="169" builtinId="9" hidden="1"/>
    <cellStyle name="Followed Hyperlink" xfId="153" builtinId="9" hidden="1"/>
    <cellStyle name="Followed Hyperlink" xfId="145" builtinId="9" hidden="1"/>
    <cellStyle name="Followed Hyperlink" xfId="137" builtinId="9" hidden="1"/>
    <cellStyle name="Followed Hyperlink" xfId="121" builtinId="9" hidden="1"/>
    <cellStyle name="Followed Hyperlink" xfId="113" builtinId="9" hidden="1"/>
    <cellStyle name="Followed Hyperlink" xfId="105" builtinId="9" hidden="1"/>
    <cellStyle name="Followed Hyperlink" xfId="89" builtinId="9" hidden="1"/>
    <cellStyle name="Followed Hyperlink" xfId="97" builtinId="9" hidden="1"/>
    <cellStyle name="Followed Hyperlink" xfId="129" builtinId="9" hidden="1"/>
    <cellStyle name="Followed Hyperlink" xfId="161" builtinId="9" hidden="1"/>
    <cellStyle name="Followed Hyperlink" xfId="193" builtinId="9" hidden="1"/>
    <cellStyle name="Followed Hyperlink" xfId="225" builtinId="9" hidden="1"/>
    <cellStyle name="Followed Hyperlink" xfId="257" builtinId="9" hidden="1"/>
    <cellStyle name="Followed Hyperlink" xfId="255" builtinId="9" hidden="1"/>
    <cellStyle name="Followed Hyperlink" xfId="263" builtinId="9" hidden="1"/>
    <cellStyle name="Followed Hyperlink" xfId="271" builtinId="9" hidden="1"/>
    <cellStyle name="Followed Hyperlink" xfId="279" builtinId="9" hidden="1"/>
    <cellStyle name="Followed Hyperlink" xfId="281" builtinId="9" hidden="1"/>
    <cellStyle name="Followed Hyperlink" xfId="273" builtinId="9" hidden="1"/>
    <cellStyle name="Followed Hyperlink" xfId="247" builtinId="9" hidden="1"/>
    <cellStyle name="Followed Hyperlink" xfId="231" builtinId="9" hidden="1"/>
    <cellStyle name="Followed Hyperlink" xfId="239" builtinId="9" hidden="1"/>
    <cellStyle name="Followed Hyperlink" xfId="223" builtinId="9" hidden="1"/>
    <cellStyle name="Followed Hyperlink" xfId="215" builtinId="9" hidden="1"/>
    <cellStyle name="Hyperlink" xfId="4" builtinId="8" hidden="1"/>
    <cellStyle name="Hyperlink" xfId="24" builtinId="8" hidden="1"/>
    <cellStyle name="Hyperlink" xfId="50" builtinId="8" hidden="1"/>
    <cellStyle name="Hyperlink" xfId="42" builtinId="8" hidden="1"/>
    <cellStyle name="Hyperlink" xfId="34" builtinId="8" hidden="1"/>
    <cellStyle name="Hyperlink" xfId="120" builtinId="8" hidden="1"/>
    <cellStyle name="Hyperlink" xfId="114" builtinId="8" hidden="1"/>
    <cellStyle name="Hyperlink" xfId="106" builtinId="8" hidden="1"/>
    <cellStyle name="Hyperlink" xfId="86" builtinId="8" hidden="1"/>
    <cellStyle name="Hyperlink" xfId="78" builtinId="8" hidden="1"/>
    <cellStyle name="Hyperlink" xfId="68" builtinId="8" hidden="1"/>
    <cellStyle name="Hyperlink" xfId="136" builtinId="8" hidden="1"/>
    <cellStyle name="Hyperlink" xfId="168" builtinId="8" hidden="1"/>
    <cellStyle name="Hyperlink" xfId="200" builtinId="8" hidden="1"/>
    <cellStyle name="Hyperlink" xfId="264" builtinId="8" hidden="1"/>
    <cellStyle name="Hyperlink" xfId="190" builtinId="8" hidden="1"/>
    <cellStyle name="Hyperlink" xfId="196" builtinId="8" hidden="1"/>
    <cellStyle name="Hyperlink" xfId="202" builtinId="8" hidden="1"/>
    <cellStyle name="Hyperlink" xfId="204" builtinId="8" hidden="1"/>
    <cellStyle name="Hyperlink" xfId="206" builtinId="8" hidden="1"/>
    <cellStyle name="Hyperlink" xfId="212" builtinId="8" hidden="1"/>
    <cellStyle name="Hyperlink" xfId="218" builtinId="8" hidden="1"/>
    <cellStyle name="Hyperlink" xfId="220" builtinId="8" hidden="1"/>
    <cellStyle name="Hyperlink" xfId="226" builtinId="8" hidden="1"/>
    <cellStyle name="Hyperlink" xfId="228" builtinId="8" hidden="1"/>
    <cellStyle name="Hyperlink" xfId="230" builtinId="8" hidden="1"/>
    <cellStyle name="Hyperlink" xfId="238" builtinId="8" hidden="1"/>
    <cellStyle name="Hyperlink" xfId="242" builtinId="8" hidden="1"/>
    <cellStyle name="Hyperlink" xfId="244" builtinId="8" hidden="1"/>
    <cellStyle name="Hyperlink" xfId="250" builtinId="8" hidden="1"/>
    <cellStyle name="Hyperlink" xfId="252" builtinId="8" hidden="1"/>
    <cellStyle name="Hyperlink" xfId="254" builtinId="8" hidden="1"/>
    <cellStyle name="Hyperlink" xfId="262" builtinId="8" hidden="1"/>
    <cellStyle name="Hyperlink" xfId="266" builtinId="8" hidden="1"/>
    <cellStyle name="Hyperlink" xfId="268" builtinId="8" hidden="1"/>
    <cellStyle name="Hyperlink" xfId="274" builtinId="8" hidden="1"/>
    <cellStyle name="Hyperlink" xfId="276" builtinId="8" hidden="1"/>
    <cellStyle name="Hyperlink" xfId="282" builtinId="8" hidden="1"/>
    <cellStyle name="Hyperlink" xfId="258" builtinId="8" hidden="1"/>
    <cellStyle name="Hyperlink" xfId="236" builtinId="8" hidden="1"/>
    <cellStyle name="Hyperlink" xfId="214" builtinId="8" hidden="1"/>
    <cellStyle name="Hyperlink" xfId="156" builtinId="8" hidden="1"/>
    <cellStyle name="Hyperlink" xfId="158" builtinId="8" hidden="1"/>
    <cellStyle name="Hyperlink" xfId="162" builtinId="8" hidden="1"/>
    <cellStyle name="Hyperlink" xfId="166" builtinId="8" hidden="1"/>
    <cellStyle name="Hyperlink" xfId="170" builtinId="8" hidden="1"/>
    <cellStyle name="Hyperlink" xfId="172" builtinId="8" hidden="1"/>
    <cellStyle name="Hyperlink" xfId="178" builtinId="8" hidden="1"/>
    <cellStyle name="Hyperlink" xfId="180" builtinId="8" hidden="1"/>
    <cellStyle name="Hyperlink" xfId="182" builtinId="8" hidden="1"/>
    <cellStyle name="Hyperlink" xfId="188" builtinId="8" hidden="1"/>
    <cellStyle name="Hyperlink" xfId="138" builtinId="8" hidden="1"/>
    <cellStyle name="Hyperlink" xfId="140" builtinId="8" hidden="1"/>
    <cellStyle name="Hyperlink" xfId="146" builtinId="8" hidden="1"/>
    <cellStyle name="Hyperlink" xfId="148" builtinId="8" hidden="1"/>
    <cellStyle name="Hyperlink" xfId="154" builtinId="8" hidden="1"/>
    <cellStyle name="Hyperlink" xfId="130" builtinId="8" hidden="1"/>
    <cellStyle name="Hyperlink" xfId="132" builtinId="8" hidden="1"/>
    <cellStyle name="Hyperlink" xfId="134" builtinId="8" hidden="1"/>
    <cellStyle name="Hyperlink" xfId="124" builtinId="8" hidden="1"/>
    <cellStyle name="Hyperlink" xfId="126" builtinId="8" hidden="1"/>
    <cellStyle name="Hyperlink" xfId="150" builtinId="8" hidden="1"/>
    <cellStyle name="Hyperlink" xfId="142" builtinId="8" hidden="1"/>
    <cellStyle name="Hyperlink" xfId="186" builtinId="8" hidden="1"/>
    <cellStyle name="Hyperlink" xfId="174" builtinId="8" hidden="1"/>
    <cellStyle name="Hyperlink" xfId="164" builtinId="8" hidden="1"/>
    <cellStyle name="Hyperlink" xfId="194" builtinId="8" hidden="1"/>
    <cellStyle name="Hyperlink" xfId="278" builtinId="8" hidden="1"/>
    <cellStyle name="Hyperlink" xfId="270" builtinId="8" hidden="1"/>
    <cellStyle name="Hyperlink" xfId="260" builtinId="8" hidden="1"/>
    <cellStyle name="Hyperlink" xfId="246" builtinId="8" hidden="1"/>
    <cellStyle name="Hyperlink" xfId="234" builtinId="8" hidden="1"/>
    <cellStyle name="Hyperlink" xfId="222" builtinId="8" hidden="1"/>
    <cellStyle name="Hyperlink" xfId="210" builtinId="8" hidden="1"/>
    <cellStyle name="Hyperlink" xfId="198" builtinId="8" hidden="1"/>
    <cellStyle name="Hyperlink" xfId="232" builtinId="8" hidden="1"/>
    <cellStyle name="Hyperlink" xfId="60" builtinId="8" hidden="1"/>
    <cellStyle name="Hyperlink" xfId="96" builtinId="8" hidden="1"/>
    <cellStyle name="Hyperlink" xfId="56" builtinId="8" hidden="1"/>
    <cellStyle name="Hyperlink" xfId="18" builtinId="8" hidden="1"/>
    <cellStyle name="Hyperlink" xfId="84" builtinId="8" hidden="1"/>
    <cellStyle name="Hyperlink" xfId="92" builtinId="8" hidden="1"/>
    <cellStyle name="Hyperlink" xfId="94" builtinId="8" hidden="1"/>
    <cellStyle name="Hyperlink" xfId="98" builtinId="8" hidden="1"/>
    <cellStyle name="Hyperlink" xfId="100" builtinId="8" hidden="1"/>
    <cellStyle name="Hyperlink" xfId="102" builtinId="8" hidden="1"/>
    <cellStyle name="Hyperlink" xfId="108" builtinId="8" hidden="1"/>
    <cellStyle name="Hyperlink" xfId="110" builtinId="8" hidden="1"/>
    <cellStyle name="Hyperlink" xfId="116" builtinId="8" hidden="1"/>
    <cellStyle name="Hyperlink" xfId="118" builtinId="8" hidden="1"/>
    <cellStyle name="Hyperlink" xfId="122" builtinId="8" hidden="1"/>
    <cellStyle name="Hyperlink" xfId="104" builtinId="8" hidden="1"/>
    <cellStyle name="Hyperlink" xfId="88" builtinId="8" hidden="1"/>
    <cellStyle name="Hyperlink" xfId="72" builtinId="8" hidden="1"/>
    <cellStyle name="Hyperlink" xfId="28" builtinId="8" hidden="1"/>
    <cellStyle name="Hyperlink" xfId="32"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14" builtinId="8" hidden="1"/>
    <cellStyle name="Hyperlink" xfId="16" builtinId="8" hidden="1"/>
    <cellStyle name="Hyperlink" xfId="20" builtinId="8" hidden="1"/>
    <cellStyle name="Hyperlink" xfId="22" builtinId="8" hidden="1"/>
    <cellStyle name="Hyperlink" xfId="26" builtinId="8" hidden="1"/>
    <cellStyle name="Hyperlink" xfId="8" builtinId="8" hidden="1"/>
    <cellStyle name="Hyperlink" xfId="10" builtinId="8" hidden="1"/>
    <cellStyle name="Hyperlink" xfId="2" builtinId="8" hidden="1"/>
    <cellStyle name="Hyperlink" xfId="12" builtinId="8" hidden="1"/>
    <cellStyle name="Hyperlink" xfId="52" builtinId="8" hidden="1"/>
    <cellStyle name="Hyperlink" xfId="30" builtinId="8" hidden="1"/>
    <cellStyle name="Hyperlink" xfId="112" builtinId="8" hidden="1"/>
    <cellStyle name="Hyperlink" xfId="90" builtinId="8" hidden="1"/>
    <cellStyle name="Hyperlink" xfId="152" builtinId="8" hidden="1"/>
    <cellStyle name="Hyperlink" xfId="144" builtinId="8" hidden="1"/>
    <cellStyle name="Hyperlink" xfId="128" builtinId="8" hidden="1"/>
    <cellStyle name="Hyperlink" xfId="54" builtinId="8" hidden="1"/>
    <cellStyle name="Hyperlink" xfId="58" builtinId="8" hidden="1"/>
    <cellStyle name="Hyperlink" xfId="62" builtinId="8" hidden="1"/>
    <cellStyle name="Hyperlink" xfId="64" builtinId="8" hidden="1"/>
    <cellStyle name="Hyperlink" xfId="66" builtinId="8" hidden="1"/>
    <cellStyle name="Hyperlink" xfId="70" builtinId="8" hidden="1"/>
    <cellStyle name="Hyperlink" xfId="74" builtinId="8" hidden="1"/>
    <cellStyle name="Hyperlink" xfId="76" builtinId="8" hidden="1"/>
    <cellStyle name="Hyperlink" xfId="80" builtinId="8" hidden="1"/>
    <cellStyle name="Hyperlink" xfId="82" builtinId="8" hidden="1"/>
    <cellStyle name="Hyperlink" xfId="224" builtinId="8" hidden="1"/>
    <cellStyle name="Hyperlink" xfId="216" builtinId="8" hidden="1"/>
    <cellStyle name="Hyperlink" xfId="208" builtinId="8" hidden="1"/>
    <cellStyle name="Hyperlink" xfId="192" builtinId="8" hidden="1"/>
    <cellStyle name="Hyperlink" xfId="184" builtinId="8" hidden="1"/>
    <cellStyle name="Hyperlink" xfId="160" builtinId="8" hidden="1"/>
    <cellStyle name="Hyperlink" xfId="176" builtinId="8" hidden="1"/>
    <cellStyle name="Hyperlink" xfId="256" builtinId="8" hidden="1"/>
    <cellStyle name="Hyperlink" xfId="248" builtinId="8" hidden="1"/>
    <cellStyle name="Hyperlink" xfId="240" builtinId="8" hidden="1"/>
    <cellStyle name="Hyperlink" xfId="272" builtinId="8" hidden="1"/>
    <cellStyle name="Hyperlink" xfId="280" builtinId="8" hidden="1"/>
    <cellStyle name="Normal" xfId="0" builtinId="0"/>
    <cellStyle name="Normal_Sheet2" xfId="7" xr:uid="{00000000-0005-0000-0000-00001A010000}"/>
    <cellStyle name="Percent" xfId="6"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0"/>
  <sheetViews>
    <sheetView topLeftCell="A13" workbookViewId="0">
      <selection activeCell="A21" sqref="A21:XFD21"/>
    </sheetView>
  </sheetViews>
  <sheetFormatPr defaultColWidth="11.19921875" defaultRowHeight="15.6" x14ac:dyDescent="0.3"/>
  <cols>
    <col min="1" max="1" width="4.19921875" customWidth="1"/>
    <col min="2" max="2" width="10.69921875" customWidth="1"/>
    <col min="3" max="3" width="43.19921875" customWidth="1"/>
    <col min="4" max="8" width="13" customWidth="1"/>
    <col min="9" max="9" width="13" style="93" customWidth="1"/>
    <col min="10" max="11" width="13" style="69" customWidth="1"/>
    <col min="12" max="12" width="51.5" customWidth="1"/>
    <col min="13" max="13" width="61.5" customWidth="1"/>
  </cols>
  <sheetData>
    <row r="1" spans="2:13" ht="16.2" hidden="1" customHeight="1" thickBot="1" x14ac:dyDescent="0.35"/>
    <row r="2" spans="2:13" ht="21" x14ac:dyDescent="0.3">
      <c r="B2" s="305" t="s">
        <v>174</v>
      </c>
      <c r="C2" s="306"/>
      <c r="D2" s="307"/>
      <c r="E2" s="307"/>
      <c r="F2" s="307"/>
      <c r="G2" s="307"/>
      <c r="H2" s="307"/>
      <c r="I2" s="308"/>
      <c r="J2" s="309"/>
      <c r="K2" s="309"/>
      <c r="L2" s="310"/>
    </row>
    <row r="3" spans="2:13" ht="21" x14ac:dyDescent="0.3">
      <c r="B3" s="311" t="s">
        <v>0</v>
      </c>
      <c r="C3" s="312"/>
      <c r="D3" s="312"/>
      <c r="E3" s="313"/>
      <c r="F3" s="313"/>
      <c r="G3" s="314"/>
      <c r="H3" s="315"/>
      <c r="I3" s="316"/>
      <c r="J3" s="315"/>
      <c r="K3" s="315"/>
      <c r="L3" s="317"/>
    </row>
    <row r="4" spans="2:13" ht="63" thickBot="1" x14ac:dyDescent="0.35">
      <c r="B4" s="318" t="s">
        <v>1</v>
      </c>
      <c r="C4" s="319" t="s">
        <v>2</v>
      </c>
      <c r="D4" s="320" t="s">
        <v>177</v>
      </c>
      <c r="E4" s="320" t="s">
        <v>153</v>
      </c>
      <c r="F4" s="320" t="s">
        <v>178</v>
      </c>
      <c r="G4" s="320" t="s">
        <v>179</v>
      </c>
      <c r="H4" s="320" t="s">
        <v>180</v>
      </c>
      <c r="I4" s="321" t="s">
        <v>181</v>
      </c>
      <c r="J4" s="320" t="s">
        <v>182</v>
      </c>
      <c r="K4" s="320" t="s">
        <v>183</v>
      </c>
      <c r="L4" s="322" t="s">
        <v>3</v>
      </c>
    </row>
    <row r="5" spans="2:13" x14ac:dyDescent="0.3">
      <c r="B5" s="43"/>
      <c r="C5" s="34"/>
      <c r="D5" s="6"/>
      <c r="E5" s="36"/>
      <c r="F5" s="36"/>
      <c r="G5" s="6"/>
      <c r="H5" s="6"/>
      <c r="I5" s="94"/>
      <c r="J5" s="95"/>
      <c r="K5" s="95"/>
      <c r="L5" s="35"/>
    </row>
    <row r="6" spans="2:13" ht="37.200000000000003" customHeight="1" x14ac:dyDescent="0.3">
      <c r="B6" s="44">
        <v>100</v>
      </c>
      <c r="C6" s="5" t="s">
        <v>4</v>
      </c>
      <c r="D6" s="418">
        <f>+'100 Income'!D28</f>
        <v>200092</v>
      </c>
      <c r="E6" s="418">
        <f>+'100 Income'!E28</f>
        <v>186246</v>
      </c>
      <c r="F6" s="418">
        <f>+'100 Income'!F28</f>
        <v>95486.68</v>
      </c>
      <c r="G6" s="459">
        <f>+'100 Income'!G28</f>
        <v>191487.5</v>
      </c>
      <c r="H6" s="473">
        <f>+'100 Income'!H28</f>
        <v>201652.5</v>
      </c>
      <c r="I6" s="480">
        <f>IFERROR(G6/E6,"n/a")</f>
        <v>1.0281428862901754</v>
      </c>
      <c r="J6" s="480">
        <f>IFERROR(H6/E6,"n/a")</f>
        <v>1.0827212396507844</v>
      </c>
      <c r="K6" s="480">
        <f>IFERROR(H6/G6,"n/a")</f>
        <v>1.0530844049872707</v>
      </c>
      <c r="L6" s="108" t="s">
        <v>140</v>
      </c>
    </row>
    <row r="7" spans="2:13" x14ac:dyDescent="0.3">
      <c r="B7" s="43"/>
      <c r="C7" s="8"/>
      <c r="D7" s="104"/>
      <c r="E7" s="104"/>
      <c r="F7" s="104"/>
      <c r="G7" s="122"/>
      <c r="H7" s="403"/>
      <c r="I7" s="481"/>
      <c r="J7" s="481"/>
      <c r="K7" s="481"/>
      <c r="L7" s="86"/>
    </row>
    <row r="8" spans="2:13" x14ac:dyDescent="0.3">
      <c r="B8" s="45">
        <v>101</v>
      </c>
      <c r="C8" s="7" t="s">
        <v>5</v>
      </c>
      <c r="D8" s="419">
        <f>+'101 Admin'!D28</f>
        <v>101808</v>
      </c>
      <c r="E8" s="419">
        <f>+'101 Admin'!E28</f>
        <v>99013</v>
      </c>
      <c r="F8" s="419">
        <f>+'101 Admin'!F28</f>
        <v>46093</v>
      </c>
      <c r="G8" s="460">
        <f>+'101 Admin'!G28</f>
        <v>96273</v>
      </c>
      <c r="H8" s="474">
        <f>+'101 Admin'!H28</f>
        <v>119353.9</v>
      </c>
      <c r="I8" s="482">
        <f t="shared" ref="I8:I14" si="0">IFERROR(G8/E8,"n/a")</f>
        <v>0.97232686616908892</v>
      </c>
      <c r="J8" s="482">
        <f t="shared" ref="J8:J14" si="1">IFERROR(H8/E8,"n/a")</f>
        <v>1.2054366598325472</v>
      </c>
      <c r="K8" s="482">
        <f t="shared" ref="K8:K14" si="2">IFERROR(H8/G8,"n/a")</f>
        <v>1.2397442689019766</v>
      </c>
      <c r="L8" s="87" t="s">
        <v>139</v>
      </c>
    </row>
    <row r="9" spans="2:13" x14ac:dyDescent="0.3">
      <c r="B9" s="45">
        <v>101</v>
      </c>
      <c r="C9" s="7" t="s">
        <v>6</v>
      </c>
      <c r="D9" s="419">
        <f>'101 Admin'!D33</f>
        <v>17580</v>
      </c>
      <c r="E9" s="419">
        <f>'101 Admin'!E33</f>
        <v>22082</v>
      </c>
      <c r="F9" s="419">
        <f>'101 Admin'!F33</f>
        <v>0</v>
      </c>
      <c r="G9" s="460">
        <f>'101 Admin'!G33</f>
        <v>22082</v>
      </c>
      <c r="H9" s="474">
        <f>'101 Admin'!H33</f>
        <v>18489</v>
      </c>
      <c r="I9" s="482">
        <f t="shared" si="0"/>
        <v>1</v>
      </c>
      <c r="J9" s="482">
        <f t="shared" si="1"/>
        <v>0.8372882891042478</v>
      </c>
      <c r="K9" s="482">
        <f t="shared" si="2"/>
        <v>0.8372882891042478</v>
      </c>
      <c r="L9" s="87" t="s">
        <v>139</v>
      </c>
    </row>
    <row r="10" spans="2:13" x14ac:dyDescent="0.3">
      <c r="B10" s="45">
        <v>104</v>
      </c>
      <c r="C10" s="7" t="s">
        <v>7</v>
      </c>
      <c r="D10" s="419">
        <f>+'104 Communications'!D16</f>
        <v>2756</v>
      </c>
      <c r="E10" s="419">
        <f>+'104 Communications'!E16</f>
        <v>5270</v>
      </c>
      <c r="F10" s="419">
        <f>+'104 Communications'!F16</f>
        <v>529</v>
      </c>
      <c r="G10" s="460">
        <f>+'104 Communications'!G16</f>
        <v>2654</v>
      </c>
      <c r="H10" s="474">
        <f>+'104 Communications'!H16</f>
        <v>3857</v>
      </c>
      <c r="I10" s="483">
        <f t="shared" si="0"/>
        <v>0.50360531309297918</v>
      </c>
      <c r="J10" s="483">
        <f t="shared" si="1"/>
        <v>0.73187855787476286</v>
      </c>
      <c r="K10" s="483">
        <f t="shared" si="2"/>
        <v>1.4532780708364732</v>
      </c>
      <c r="L10" s="87" t="s">
        <v>141</v>
      </c>
      <c r="M10">
        <f>3228.42+25628.85</f>
        <v>28857.269999999997</v>
      </c>
    </row>
    <row r="11" spans="2:13" x14ac:dyDescent="0.3">
      <c r="B11" s="45">
        <v>301</v>
      </c>
      <c r="C11" s="7" t="s">
        <v>8</v>
      </c>
      <c r="D11" s="419">
        <f>+'301 Fairground &amp; Cemetery'!D28</f>
        <v>29695</v>
      </c>
      <c r="E11" s="419">
        <f>+'301 Fairground &amp; Cemetery'!E28</f>
        <v>44481</v>
      </c>
      <c r="F11" s="419">
        <f>+'301 Fairground &amp; Cemetery'!F28</f>
        <v>8298</v>
      </c>
      <c r="G11" s="460">
        <f>+'301 Fairground &amp; Cemetery'!G28</f>
        <v>43388.979999999996</v>
      </c>
      <c r="H11" s="474">
        <f>+'301 Fairground &amp; Cemetery'!H28</f>
        <v>43303.05</v>
      </c>
      <c r="I11" s="483">
        <f t="shared" si="0"/>
        <v>0.97544974258672235</v>
      </c>
      <c r="J11" s="483">
        <f t="shared" si="1"/>
        <v>0.97351790652188586</v>
      </c>
      <c r="K11" s="483">
        <f t="shared" si="2"/>
        <v>0.99801954321120268</v>
      </c>
      <c r="L11" s="87" t="s">
        <v>142</v>
      </c>
    </row>
    <row r="12" spans="2:13" x14ac:dyDescent="0.3">
      <c r="B12" s="45">
        <v>302</v>
      </c>
      <c r="C12" s="7" t="s">
        <v>9</v>
      </c>
      <c r="D12" s="419">
        <f>+'302 Roads, Footpaths, Commons'!D28</f>
        <v>3913</v>
      </c>
      <c r="E12" s="419">
        <f>+'302 Roads, Footpaths, Commons'!E28</f>
        <v>15400</v>
      </c>
      <c r="F12" s="419">
        <f>+'302 Roads, Footpaths, Commons'!F28</f>
        <v>-1040</v>
      </c>
      <c r="G12" s="460">
        <f>+'302 Roads, Footpaths, Commons'!G28</f>
        <v>2280</v>
      </c>
      <c r="H12" s="474">
        <f>+'302 Roads, Footpaths, Commons'!H28</f>
        <v>6650</v>
      </c>
      <c r="I12" s="483">
        <f t="shared" si="0"/>
        <v>0.14805194805194805</v>
      </c>
      <c r="J12" s="483">
        <f t="shared" si="1"/>
        <v>0.43181818181818182</v>
      </c>
      <c r="K12" s="483">
        <f t="shared" si="2"/>
        <v>2.9166666666666665</v>
      </c>
      <c r="L12" s="87" t="s">
        <v>143</v>
      </c>
    </row>
    <row r="13" spans="2:13" x14ac:dyDescent="0.3">
      <c r="B13" s="45">
        <v>805</v>
      </c>
      <c r="C13" s="7" t="s">
        <v>117</v>
      </c>
      <c r="D13" s="419">
        <f>+'805 Community Projects'!D10</f>
        <v>0</v>
      </c>
      <c r="E13" s="419">
        <f>'805 Community Projects'!E10</f>
        <v>0</v>
      </c>
      <c r="F13" s="419">
        <f>'805 Community Projects'!F10</f>
        <v>0</v>
      </c>
      <c r="G13" s="460">
        <f>+'805 Community Projects'!G10</f>
        <v>0</v>
      </c>
      <c r="H13" s="474">
        <f>+'805 Community Projects'!H10</f>
        <v>10000</v>
      </c>
      <c r="I13" s="483" t="str">
        <f t="shared" si="0"/>
        <v>n/a</v>
      </c>
      <c r="J13" s="483" t="str">
        <f t="shared" si="1"/>
        <v>n/a</v>
      </c>
      <c r="K13" s="483" t="str">
        <f t="shared" si="2"/>
        <v>n/a</v>
      </c>
      <c r="L13" s="87" t="s">
        <v>144</v>
      </c>
    </row>
    <row r="14" spans="2:13" ht="30" customHeight="1" x14ac:dyDescent="0.3">
      <c r="B14" s="46"/>
      <c r="C14" s="41" t="s">
        <v>10</v>
      </c>
      <c r="D14" s="102">
        <f>SUM(D8:D13)</f>
        <v>155752</v>
      </c>
      <c r="E14" s="102">
        <f>SUM(E8:E13)</f>
        <v>186246</v>
      </c>
      <c r="F14" s="102">
        <f>SUM(F8:F13)</f>
        <v>53880</v>
      </c>
      <c r="G14" s="440">
        <f>SUM(G8:G13)</f>
        <v>166677.97999999998</v>
      </c>
      <c r="H14" s="475">
        <f>SUM(H8:H13)</f>
        <v>201652.95</v>
      </c>
      <c r="I14" s="484">
        <f t="shared" si="0"/>
        <v>0.89493454892990976</v>
      </c>
      <c r="J14" s="484">
        <f t="shared" si="1"/>
        <v>1.0827236558100577</v>
      </c>
      <c r="K14" s="484">
        <f t="shared" si="2"/>
        <v>1.2098355763610769</v>
      </c>
      <c r="L14" s="106"/>
    </row>
    <row r="15" spans="2:13" x14ac:dyDescent="0.3">
      <c r="B15" s="43"/>
      <c r="C15" s="8"/>
      <c r="D15" s="358"/>
      <c r="E15" s="358"/>
      <c r="F15" s="13"/>
      <c r="G15" s="122"/>
      <c r="H15" s="476"/>
      <c r="I15" s="485"/>
      <c r="J15" s="485"/>
      <c r="K15" s="485"/>
      <c r="L15" s="88"/>
    </row>
    <row r="16" spans="2:13" ht="47.4" thickBot="1" x14ac:dyDescent="0.35">
      <c r="B16" s="47"/>
      <c r="C16" s="79" t="s">
        <v>11</v>
      </c>
      <c r="D16" s="422">
        <f>+D6-D14</f>
        <v>44340</v>
      </c>
      <c r="E16" s="422">
        <f>+E6-E14</f>
        <v>0</v>
      </c>
      <c r="F16" s="422">
        <f>+F6-F14</f>
        <v>41606.679999999993</v>
      </c>
      <c r="G16" s="461">
        <f>+G6-G14</f>
        <v>24809.520000000019</v>
      </c>
      <c r="H16" s="477">
        <f>+H6-H14</f>
        <v>-0.45000000001164153</v>
      </c>
      <c r="I16" s="486"/>
      <c r="J16" s="486"/>
      <c r="K16" s="486"/>
      <c r="L16" s="109"/>
    </row>
    <row r="17" spans="2:13" x14ac:dyDescent="0.3">
      <c r="B17" s="235"/>
      <c r="C17" s="236"/>
      <c r="D17" s="359"/>
      <c r="E17" s="359"/>
      <c r="F17" s="413"/>
      <c r="G17" s="413"/>
      <c r="H17" s="413"/>
      <c r="I17" s="487"/>
      <c r="J17" s="487"/>
      <c r="K17" s="487"/>
      <c r="L17" s="237"/>
    </row>
    <row r="18" spans="2:13" x14ac:dyDescent="0.3">
      <c r="B18" s="245"/>
      <c r="C18" s="246" t="s">
        <v>104</v>
      </c>
      <c r="D18" s="358"/>
      <c r="E18" s="358"/>
      <c r="F18" s="13"/>
      <c r="G18" s="13"/>
      <c r="H18" s="13"/>
      <c r="I18" s="488"/>
      <c r="J18" s="488"/>
      <c r="K18" s="488"/>
      <c r="L18" s="247"/>
    </row>
    <row r="19" spans="2:13" x14ac:dyDescent="0.3">
      <c r="B19" s="248">
        <v>100</v>
      </c>
      <c r="C19" s="249" t="s">
        <v>158</v>
      </c>
      <c r="D19" s="1">
        <f>'100 Income'!D30</f>
        <v>81915</v>
      </c>
      <c r="E19" s="1">
        <f>+'100 Income'!E34</f>
        <v>0</v>
      </c>
      <c r="F19" s="1">
        <f>+'100 Income'!F34</f>
        <v>89022</v>
      </c>
      <c r="G19" s="436">
        <f>'100 Income'!G30</f>
        <v>173294.69999999998</v>
      </c>
      <c r="H19" s="103">
        <f>'100 Income'!H30</f>
        <v>91022.22</v>
      </c>
      <c r="I19" s="96" t="str">
        <f>IFERROR(G19/E19,"n/a")</f>
        <v>n/a</v>
      </c>
      <c r="J19" s="96" t="str">
        <f>IFERROR(H19/E19,"n/a")</f>
        <v>n/a</v>
      </c>
      <c r="K19" s="96">
        <f>IFERROR(H19/G19,"n/a")</f>
        <v>0.52524526139576111</v>
      </c>
      <c r="L19" s="247" t="s">
        <v>145</v>
      </c>
    </row>
    <row r="20" spans="2:13" x14ac:dyDescent="0.3">
      <c r="B20" s="248">
        <v>100</v>
      </c>
      <c r="C20" s="249" t="s">
        <v>114</v>
      </c>
      <c r="D20" s="1">
        <f>'100 Income'!D32</f>
        <v>0</v>
      </c>
      <c r="E20" s="1">
        <v>0</v>
      </c>
      <c r="F20" s="1">
        <v>0</v>
      </c>
      <c r="G20" s="436">
        <f>'100 Income'!G32</f>
        <v>0</v>
      </c>
      <c r="H20" s="103">
        <f>'100 Income'!H32</f>
        <v>0</v>
      </c>
      <c r="I20" s="96"/>
      <c r="J20" s="96"/>
      <c r="K20" s="96"/>
      <c r="L20" s="247" t="s">
        <v>146</v>
      </c>
    </row>
    <row r="21" spans="2:13" x14ac:dyDescent="0.3">
      <c r="B21" s="551"/>
      <c r="C21" s="553"/>
      <c r="D21" s="552"/>
      <c r="E21" s="1"/>
      <c r="F21" s="1"/>
      <c r="G21" s="1"/>
      <c r="H21" s="436"/>
      <c r="I21" s="103"/>
      <c r="J21" s="96"/>
      <c r="K21" s="96"/>
      <c r="L21" s="96"/>
      <c r="M21" s="250"/>
    </row>
    <row r="22" spans="2:13" x14ac:dyDescent="0.3">
      <c r="B22" s="248"/>
      <c r="C22" s="251" t="s">
        <v>122</v>
      </c>
      <c r="D22" s="90">
        <f>SUM(D19:D20)</f>
        <v>81915</v>
      </c>
      <c r="E22" s="90">
        <f>SUM(E19:E20)</f>
        <v>0</v>
      </c>
      <c r="F22" s="90">
        <f>SUM(F19:F20)</f>
        <v>89022</v>
      </c>
      <c r="G22" s="462">
        <f>SUM(G19:G20)</f>
        <v>173294.69999999998</v>
      </c>
      <c r="H22" s="401">
        <f>SUM(H19:H21)</f>
        <v>91022.22</v>
      </c>
      <c r="I22" s="489"/>
      <c r="J22" s="489"/>
      <c r="K22" s="489"/>
      <c r="L22" s="252"/>
    </row>
    <row r="23" spans="2:13" x14ac:dyDescent="0.3">
      <c r="B23" s="248"/>
      <c r="C23" s="249"/>
      <c r="D23" s="360"/>
      <c r="E23" s="1"/>
      <c r="F23" s="1"/>
      <c r="G23" s="436"/>
      <c r="H23" s="103"/>
      <c r="I23" s="96"/>
      <c r="J23" s="96"/>
      <c r="K23" s="96"/>
      <c r="L23" s="247"/>
    </row>
    <row r="24" spans="2:13" x14ac:dyDescent="0.3">
      <c r="B24" s="248"/>
      <c r="C24" s="246" t="s">
        <v>95</v>
      </c>
      <c r="D24" s="360"/>
      <c r="E24" s="1"/>
      <c r="F24" s="1"/>
      <c r="G24" s="436"/>
      <c r="H24" s="103"/>
      <c r="I24" s="96"/>
      <c r="J24" s="96"/>
      <c r="K24" s="96"/>
      <c r="L24" s="247"/>
    </row>
    <row r="25" spans="2:13" x14ac:dyDescent="0.3">
      <c r="B25" s="248">
        <v>101</v>
      </c>
      <c r="C25" s="249" t="s">
        <v>105</v>
      </c>
      <c r="D25" s="1">
        <f>'101 Admin'!D48</f>
        <v>30650</v>
      </c>
      <c r="E25" s="1">
        <f>'101 Admin'!E48</f>
        <v>0</v>
      </c>
      <c r="F25" s="1">
        <f>'101 Admin'!F48</f>
        <v>1840</v>
      </c>
      <c r="G25" s="436">
        <f>'101 Admin'!G48</f>
        <v>47412</v>
      </c>
      <c r="H25" s="103">
        <f>'101 Admin'!H48</f>
        <v>307000</v>
      </c>
      <c r="I25" s="96" t="str">
        <f>IFERROR(G25/E25,"n/a")</f>
        <v>n/a</v>
      </c>
      <c r="J25" s="96" t="str">
        <f>IFERROR(H25/E25,"n/a")</f>
        <v>n/a</v>
      </c>
      <c r="K25" s="96">
        <f>IFERROR(H25/G25,"n/a")</f>
        <v>6.4751539694592086</v>
      </c>
      <c r="L25" s="247" t="s">
        <v>147</v>
      </c>
    </row>
    <row r="26" spans="2:13" x14ac:dyDescent="0.3">
      <c r="B26" s="248">
        <v>104</v>
      </c>
      <c r="C26" s="249" t="s">
        <v>7</v>
      </c>
      <c r="D26" s="360">
        <f>'104 Communications'!D20</f>
        <v>0</v>
      </c>
      <c r="E26" s="1">
        <f>'104 Communications'!E20</f>
        <v>0</v>
      </c>
      <c r="F26" s="1">
        <f>'104 Communications'!F20</f>
        <v>0</v>
      </c>
      <c r="G26" s="436">
        <f>'104 Communications'!G20</f>
        <v>0</v>
      </c>
      <c r="H26" s="103">
        <f>'104 Communications'!H20</f>
        <v>0</v>
      </c>
      <c r="I26" s="96" t="str">
        <f>IFERROR(G26/E26,"n/a")</f>
        <v>n/a</v>
      </c>
      <c r="J26" s="96" t="str">
        <f>IFERROR(H26/E26,"n/a")</f>
        <v>n/a</v>
      </c>
      <c r="K26" s="96" t="str">
        <f t="shared" ref="K26:K29" si="3">IFERROR(H26/G26,"n/a")</f>
        <v>n/a</v>
      </c>
      <c r="L26" s="247" t="s">
        <v>148</v>
      </c>
    </row>
    <row r="27" spans="2:13" x14ac:dyDescent="0.3">
      <c r="B27" s="248">
        <v>301</v>
      </c>
      <c r="C27" s="249" t="s">
        <v>106</v>
      </c>
      <c r="D27" s="1">
        <f>'301 Fairground &amp; Cemetery'!D36</f>
        <v>0</v>
      </c>
      <c r="E27" s="1">
        <f>'301 Fairground &amp; Cemetery'!E36</f>
        <v>0</v>
      </c>
      <c r="F27" s="1">
        <f>'301 Fairground &amp; Cemetery'!F36</f>
        <v>0</v>
      </c>
      <c r="G27" s="436">
        <f>'301 Fairground &amp; Cemetery'!G36</f>
        <v>16898</v>
      </c>
      <c r="H27" s="103">
        <f>'301 Fairground &amp; Cemetery'!H36</f>
        <v>47697</v>
      </c>
      <c r="I27" s="96" t="str">
        <f>IFERROR(G28/E27,"n/a")</f>
        <v>n/a</v>
      </c>
      <c r="J27" s="96" t="str">
        <f>IFERROR(H27/E27,"n/a")</f>
        <v>n/a</v>
      </c>
      <c r="K27" s="96">
        <f>IFERROR(H27/G28,"n/a")</f>
        <v>5.9126069170695423</v>
      </c>
      <c r="L27" s="247" t="s">
        <v>149</v>
      </c>
    </row>
    <row r="28" spans="2:13" x14ac:dyDescent="0.3">
      <c r="B28" s="248">
        <v>302</v>
      </c>
      <c r="C28" s="249" t="s">
        <v>113</v>
      </c>
      <c r="D28" s="1">
        <f>'302 Roads, Footpaths, Commons'!D34</f>
        <v>0</v>
      </c>
      <c r="E28" s="1">
        <f>'302 Roads, Footpaths, Commons'!E34</f>
        <v>0</v>
      </c>
      <c r="F28" s="1">
        <f>'302 Roads, Footpaths, Commons'!F34</f>
        <v>0</v>
      </c>
      <c r="G28" s="436">
        <f>'302 Roads, Footpaths, Commons'!G34</f>
        <v>8067</v>
      </c>
      <c r="H28" s="103">
        <f>'302 Roads, Footpaths, Commons'!H34</f>
        <v>0</v>
      </c>
      <c r="I28" s="96" t="str">
        <f>IFERROR(#REF!/E28,"n/a")</f>
        <v>n/a</v>
      </c>
      <c r="J28" s="96" t="str">
        <f>IFERROR(H28/E28,"n/a")</f>
        <v>n/a</v>
      </c>
      <c r="K28" s="96" t="str">
        <f>IFERROR(H28/#REF!,"n/a")</f>
        <v>n/a</v>
      </c>
      <c r="L28" s="247" t="s">
        <v>150</v>
      </c>
    </row>
    <row r="29" spans="2:13" x14ac:dyDescent="0.3">
      <c r="B29" s="248">
        <v>805</v>
      </c>
      <c r="C29" s="249" t="s">
        <v>87</v>
      </c>
      <c r="D29" s="1">
        <f>'805 Community Projects'!D16</f>
        <v>5638</v>
      </c>
      <c r="E29" s="1">
        <f>'805 Community Projects'!E16</f>
        <v>0</v>
      </c>
      <c r="F29" s="1">
        <f>'805 Community Projects'!F16</f>
        <v>5517</v>
      </c>
      <c r="G29" s="436">
        <f>'805 Community Projects'!G16</f>
        <v>34734</v>
      </c>
      <c r="H29" s="103">
        <f>'805 Community Projects'!H16</f>
        <v>102205</v>
      </c>
      <c r="I29" s="96" t="str">
        <f>IFERROR(G29/E29,"n/a")</f>
        <v>n/a</v>
      </c>
      <c r="J29" s="96" t="str">
        <f>IFERROR(H29/E29,"n/a")</f>
        <v>n/a</v>
      </c>
      <c r="K29" s="96">
        <f t="shared" si="3"/>
        <v>2.9425059019980422</v>
      </c>
      <c r="L29" s="247" t="s">
        <v>151</v>
      </c>
    </row>
    <row r="30" spans="2:13" x14ac:dyDescent="0.3">
      <c r="B30" s="248"/>
      <c r="C30" s="249"/>
      <c r="D30" s="360"/>
      <c r="E30" s="1"/>
      <c r="F30" s="1"/>
      <c r="G30" s="436"/>
      <c r="H30" s="103"/>
      <c r="I30" s="96"/>
      <c r="J30" s="96"/>
      <c r="K30" s="96"/>
      <c r="L30" s="250"/>
    </row>
    <row r="31" spans="2:13" x14ac:dyDescent="0.3">
      <c r="B31" s="248"/>
      <c r="C31" s="251" t="s">
        <v>122</v>
      </c>
      <c r="D31" s="90">
        <f>SUM(D25:D30)</f>
        <v>36288</v>
      </c>
      <c r="E31" s="90">
        <f t="shared" ref="E31:G31" si="4">SUM(E25:E30)</f>
        <v>0</v>
      </c>
      <c r="F31" s="90">
        <f t="shared" si="4"/>
        <v>7357</v>
      </c>
      <c r="G31" s="462">
        <f t="shared" si="4"/>
        <v>107111</v>
      </c>
      <c r="H31" s="401">
        <f>SUM(H25:H29)</f>
        <v>456902</v>
      </c>
      <c r="I31" s="489"/>
      <c r="J31" s="489"/>
      <c r="K31" s="489"/>
      <c r="L31" s="252"/>
    </row>
    <row r="32" spans="2:13" x14ac:dyDescent="0.3">
      <c r="B32" s="248"/>
      <c r="C32" s="249"/>
      <c r="D32" s="1"/>
      <c r="E32" s="1"/>
      <c r="F32" s="1"/>
      <c r="G32" s="436"/>
      <c r="H32" s="103"/>
      <c r="I32" s="96"/>
      <c r="J32" s="96"/>
      <c r="K32" s="96"/>
      <c r="L32" s="247"/>
    </row>
    <row r="33" spans="2:12" ht="18" customHeight="1" x14ac:dyDescent="0.3">
      <c r="B33" s="253"/>
      <c r="C33" s="254" t="s">
        <v>111</v>
      </c>
      <c r="D33" s="420">
        <f>D22-SUM(D25:D29)</f>
        <v>45627</v>
      </c>
      <c r="E33" s="420">
        <f t="shared" ref="E33:G33" si="5">E22-SUM(E25:E29)</f>
        <v>0</v>
      </c>
      <c r="F33" s="420">
        <f t="shared" si="5"/>
        <v>81665</v>
      </c>
      <c r="G33" s="463">
        <f t="shared" si="5"/>
        <v>66183.699999999983</v>
      </c>
      <c r="H33" s="478">
        <f>H22-H31</f>
        <v>-365879.78</v>
      </c>
      <c r="I33" s="490" t="str">
        <f>IFERROR(G33/E33,"n/a")</f>
        <v>n/a</v>
      </c>
      <c r="J33" s="490" t="str">
        <f>IFERROR(H33/E33,"n/a")</f>
        <v>n/a</v>
      </c>
      <c r="K33" s="490">
        <f>IFERROR(H33/G33,"n/a")</f>
        <v>-5.5282460787172694</v>
      </c>
      <c r="L33" s="255"/>
    </row>
    <row r="34" spans="2:12" ht="18" customHeight="1" thickBot="1" x14ac:dyDescent="0.35">
      <c r="B34" s="256"/>
      <c r="C34" s="257" t="s">
        <v>118</v>
      </c>
      <c r="D34" s="421">
        <f>+D33</f>
        <v>45627</v>
      </c>
      <c r="E34" s="421">
        <f>+E33</f>
        <v>0</v>
      </c>
      <c r="F34" s="421">
        <f>+F33</f>
        <v>81665</v>
      </c>
      <c r="G34" s="464">
        <f>+G33</f>
        <v>66183.699999999983</v>
      </c>
      <c r="H34" s="479">
        <f>+H33</f>
        <v>-365879.78</v>
      </c>
      <c r="I34" s="491" t="str">
        <f>IFERROR(G34/E34,"n/a")</f>
        <v>n/a</v>
      </c>
      <c r="J34" s="491" t="str">
        <f>IFERROR(H34/E34,"n/a")</f>
        <v>n/a</v>
      </c>
      <c r="K34" s="491">
        <f>IFERROR(H34/G34,"n/a")</f>
        <v>-5.5282460787172694</v>
      </c>
      <c r="L34" s="258"/>
    </row>
    <row r="35" spans="2:12" x14ac:dyDescent="0.3">
      <c r="B35" s="235"/>
      <c r="C35" s="236"/>
      <c r="D35" s="359"/>
      <c r="E35" s="413"/>
      <c r="F35" s="413"/>
      <c r="G35" s="413"/>
      <c r="H35" s="413"/>
      <c r="I35" s="487"/>
      <c r="J35" s="487"/>
      <c r="K35" s="487"/>
      <c r="L35" s="237"/>
    </row>
    <row r="36" spans="2:12" x14ac:dyDescent="0.3">
      <c r="B36" s="235"/>
      <c r="C36" s="236"/>
      <c r="D36" s="359"/>
      <c r="E36" s="413"/>
      <c r="F36" s="413"/>
      <c r="G36" s="413"/>
      <c r="H36" s="413"/>
      <c r="I36" s="492"/>
      <c r="J36" s="492"/>
      <c r="K36" s="492"/>
      <c r="L36" s="238"/>
    </row>
    <row r="37" spans="2:12" ht="28.95" customHeight="1" thickBot="1" x14ac:dyDescent="0.35">
      <c r="B37" s="239"/>
      <c r="C37" s="292" t="s">
        <v>12</v>
      </c>
      <c r="D37" s="77">
        <f>D6+D22-D14-D31</f>
        <v>89967</v>
      </c>
      <c r="E37" s="77">
        <f>E6+E22-E14-E31</f>
        <v>0</v>
      </c>
      <c r="F37" s="77">
        <f>F6+F22-F14-F31</f>
        <v>123271.67999999999</v>
      </c>
      <c r="G37" s="438">
        <f>G6+G22-G14-G31</f>
        <v>90993.219999999972</v>
      </c>
      <c r="H37" s="404">
        <f>H6+H22-H14-H31</f>
        <v>-365880.23000000004</v>
      </c>
      <c r="I37" s="493" t="str">
        <f>IFERROR(G37/E37,"n/a")</f>
        <v>n/a</v>
      </c>
      <c r="J37" s="493" t="str">
        <f>IFERROR(H37/E37,"n/a")</f>
        <v>n/a</v>
      </c>
      <c r="K37" s="491">
        <f>IFERROR(H37/G37,"n/a")</f>
        <v>-4.0209614518532275</v>
      </c>
      <c r="L37" s="293"/>
    </row>
    <row r="39" spans="2:12" x14ac:dyDescent="0.3">
      <c r="C39" s="105"/>
      <c r="I39" s="540"/>
    </row>
    <row r="41" spans="2:12" x14ac:dyDescent="0.3">
      <c r="D41" s="42"/>
    </row>
    <row r="42" spans="2:12" x14ac:dyDescent="0.3">
      <c r="D42" s="42"/>
    </row>
    <row r="49" spans="4:4" x14ac:dyDescent="0.3">
      <c r="D49" s="42"/>
    </row>
    <row r="50" spans="4:4" x14ac:dyDescent="0.3">
      <c r="D50" s="42"/>
    </row>
  </sheetData>
  <phoneticPr fontId="13" type="noConversion"/>
  <pageMargins left="0.75000000000000011" right="0.75000000000000011" top="1" bottom="1" header="0.5" footer="0.5"/>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7"/>
  <sheetViews>
    <sheetView topLeftCell="C16" workbookViewId="0">
      <selection activeCell="G14" sqref="G14"/>
    </sheetView>
  </sheetViews>
  <sheetFormatPr defaultColWidth="11.19921875" defaultRowHeight="15.6" x14ac:dyDescent="0.3"/>
  <cols>
    <col min="1" max="1" width="5.19921875" customWidth="1"/>
    <col min="2" max="2" width="10.69921875" style="69" customWidth="1"/>
    <col min="3" max="3" width="48.5" customWidth="1"/>
    <col min="4" max="7" width="10.69921875" customWidth="1"/>
    <col min="8" max="8" width="12.69921875" customWidth="1"/>
    <col min="9" max="10" width="10.69921875" customWidth="1"/>
    <col min="11" max="11" width="53" customWidth="1"/>
  </cols>
  <sheetData>
    <row r="1" spans="2:11" ht="16.2" thickBot="1" x14ac:dyDescent="0.35"/>
    <row r="2" spans="2:11" ht="17.399999999999999" x14ac:dyDescent="0.3">
      <c r="B2" s="357" t="s">
        <v>176</v>
      </c>
      <c r="C2" s="355"/>
      <c r="D2" s="355"/>
      <c r="E2" s="355"/>
      <c r="F2" s="355"/>
      <c r="G2" s="355"/>
      <c r="H2" s="355"/>
      <c r="I2" s="355"/>
      <c r="J2" s="355"/>
      <c r="K2" s="356"/>
    </row>
    <row r="3" spans="2:11" ht="96" customHeight="1" thickBot="1" x14ac:dyDescent="0.35">
      <c r="B3" s="350"/>
      <c r="C3" s="351"/>
      <c r="D3" s="352" t="s">
        <v>197</v>
      </c>
      <c r="E3" s="352" t="s">
        <v>198</v>
      </c>
      <c r="F3" s="352" t="s">
        <v>184</v>
      </c>
      <c r="G3" s="352" t="s">
        <v>275</v>
      </c>
      <c r="H3" s="352" t="s">
        <v>185</v>
      </c>
      <c r="I3" s="353" t="s">
        <v>161</v>
      </c>
      <c r="J3" s="352">
        <v>45717</v>
      </c>
      <c r="K3" s="354" t="s">
        <v>14</v>
      </c>
    </row>
    <row r="4" spans="2:11" x14ac:dyDescent="0.3">
      <c r="B4" s="70"/>
      <c r="C4" s="67"/>
      <c r="D4" s="37"/>
      <c r="E4" s="37"/>
      <c r="F4" s="37"/>
      <c r="G4" s="37"/>
      <c r="H4" s="37"/>
      <c r="I4" s="37"/>
      <c r="J4" s="37"/>
      <c r="K4" s="500"/>
    </row>
    <row r="5" spans="2:11" ht="40.200000000000003" x14ac:dyDescent="0.3">
      <c r="B5" s="80">
        <v>311</v>
      </c>
      <c r="C5" s="81" t="s">
        <v>233</v>
      </c>
      <c r="D5" s="1">
        <v>0</v>
      </c>
      <c r="E5" s="1"/>
      <c r="F5" s="1">
        <v>50000</v>
      </c>
      <c r="G5" s="1"/>
      <c r="H5" s="1">
        <f>'101 Admin'!G44</f>
        <v>0</v>
      </c>
      <c r="I5" s="1"/>
      <c r="J5" s="1">
        <f>D5-E5+F5+G5-H5+I5</f>
        <v>50000</v>
      </c>
      <c r="K5" s="501" t="s">
        <v>239</v>
      </c>
    </row>
    <row r="6" spans="2:11" x14ac:dyDescent="0.3">
      <c r="B6" s="80">
        <v>310</v>
      </c>
      <c r="C6" s="81" t="s">
        <v>234</v>
      </c>
      <c r="D6" s="1">
        <v>148509</v>
      </c>
      <c r="E6" s="1">
        <v>0</v>
      </c>
      <c r="F6" s="107"/>
      <c r="G6" s="1">
        <v>0</v>
      </c>
      <c r="H6" s="107"/>
      <c r="I6" s="103"/>
      <c r="J6" s="1">
        <f>D6+'Budget Summary'!G16+E17+E27-F17-G17</f>
        <v>90556.520000000019</v>
      </c>
      <c r="K6" s="501" t="s">
        <v>237</v>
      </c>
    </row>
    <row r="7" spans="2:11" x14ac:dyDescent="0.3">
      <c r="B7" s="80">
        <v>320</v>
      </c>
      <c r="C7" s="81" t="s">
        <v>15</v>
      </c>
      <c r="D7" s="1">
        <v>40555</v>
      </c>
      <c r="E7" s="1">
        <f>'301 Fairground &amp; Cemetery'!D24+'301 Fairground &amp; Cemetery'!F24</f>
        <v>2140</v>
      </c>
      <c r="F7" s="1">
        <v>0</v>
      </c>
      <c r="G7" s="1">
        <v>25180</v>
      </c>
      <c r="H7" s="1">
        <f>'301 Fairground &amp; Cemetery'!G30</f>
        <v>15898</v>
      </c>
      <c r="I7" s="103"/>
      <c r="J7" s="1">
        <f>D7-E7+F7+G7-H7+I7</f>
        <v>47697</v>
      </c>
      <c r="K7" s="501" t="s">
        <v>221</v>
      </c>
    </row>
    <row r="8" spans="2:11" x14ac:dyDescent="0.3">
      <c r="B8" s="80">
        <v>323</v>
      </c>
      <c r="C8" s="81" t="s">
        <v>160</v>
      </c>
      <c r="D8" s="1">
        <v>136939</v>
      </c>
      <c r="E8" s="1">
        <v>0</v>
      </c>
      <c r="F8" s="1">
        <v>0</v>
      </c>
      <c r="G8" s="1">
        <v>0</v>
      </c>
      <c r="H8" s="1">
        <f>'805 Community Projects'!G14</f>
        <v>34734</v>
      </c>
      <c r="I8" s="1">
        <v>0</v>
      </c>
      <c r="J8" s="1">
        <f t="shared" ref="J8:J16" si="0">D8-E8+F8+G8-H8+I8</f>
        <v>102205</v>
      </c>
      <c r="K8" s="501" t="s">
        <v>222</v>
      </c>
    </row>
    <row r="9" spans="2:11" x14ac:dyDescent="0.3">
      <c r="B9" s="80">
        <v>351</v>
      </c>
      <c r="C9" s="81" t="s">
        <v>16</v>
      </c>
      <c r="D9" s="1">
        <v>1000</v>
      </c>
      <c r="E9" s="1">
        <v>0</v>
      </c>
      <c r="F9" s="1">
        <v>0</v>
      </c>
      <c r="G9" s="1">
        <v>0</v>
      </c>
      <c r="H9" s="1">
        <f>'301 Fairground &amp; Cemetery'!G32</f>
        <v>1000</v>
      </c>
      <c r="I9" s="1">
        <v>0</v>
      </c>
      <c r="J9" s="1">
        <f t="shared" si="0"/>
        <v>0</v>
      </c>
      <c r="K9" s="501" t="s">
        <v>223</v>
      </c>
    </row>
    <row r="10" spans="2:11" x14ac:dyDescent="0.3">
      <c r="B10" s="80">
        <v>353</v>
      </c>
      <c r="C10" s="81" t="s">
        <v>17</v>
      </c>
      <c r="D10" s="1">
        <v>5074</v>
      </c>
      <c r="E10" s="1">
        <f>'101 Admin'!D10</f>
        <v>80</v>
      </c>
      <c r="F10" s="1">
        <v>0</v>
      </c>
      <c r="G10" s="1">
        <v>6</v>
      </c>
      <c r="H10" s="1">
        <f>'101 Admin'!G35</f>
        <v>0</v>
      </c>
      <c r="I10" s="1">
        <v>0</v>
      </c>
      <c r="J10" s="1">
        <f t="shared" si="0"/>
        <v>5000</v>
      </c>
      <c r="K10" s="501" t="s">
        <v>240</v>
      </c>
    </row>
    <row r="11" spans="2:11" ht="27" x14ac:dyDescent="0.3">
      <c r="B11" s="80">
        <v>326</v>
      </c>
      <c r="C11" s="81" t="s">
        <v>18</v>
      </c>
      <c r="D11" s="1">
        <v>47666</v>
      </c>
      <c r="E11" s="1">
        <v>0</v>
      </c>
      <c r="F11" s="1">
        <v>0</v>
      </c>
      <c r="G11" s="1">
        <v>2334</v>
      </c>
      <c r="H11" s="1">
        <f>'301 Fairground &amp; Cemetery'!G34</f>
        <v>0</v>
      </c>
      <c r="I11" s="1">
        <v>0</v>
      </c>
      <c r="J11" s="1">
        <f t="shared" si="0"/>
        <v>50000</v>
      </c>
      <c r="K11" s="501" t="s">
        <v>241</v>
      </c>
    </row>
    <row r="12" spans="2:11" ht="27" x14ac:dyDescent="0.3">
      <c r="B12" s="80">
        <v>329</v>
      </c>
      <c r="C12" s="81" t="s">
        <v>19</v>
      </c>
      <c r="D12" s="1">
        <v>7727</v>
      </c>
      <c r="E12" s="1">
        <v>0</v>
      </c>
      <c r="F12" s="1">
        <v>0</v>
      </c>
      <c r="G12" s="1">
        <v>0</v>
      </c>
      <c r="H12" s="1">
        <f>'302 Roads, Footpaths, Commons'!G32</f>
        <v>7727</v>
      </c>
      <c r="I12" s="1">
        <v>0</v>
      </c>
      <c r="J12" s="1">
        <f t="shared" si="0"/>
        <v>0</v>
      </c>
      <c r="K12" s="501" t="s">
        <v>242</v>
      </c>
    </row>
    <row r="13" spans="2:11" ht="27" x14ac:dyDescent="0.3">
      <c r="B13" s="80">
        <v>359</v>
      </c>
      <c r="C13" s="81" t="s">
        <v>165</v>
      </c>
      <c r="D13" s="1">
        <v>3000</v>
      </c>
      <c r="E13" s="1">
        <f>'302 Roads, Footpaths, Commons'!D6+'302 Roads, Footpaths, Commons'!F6</f>
        <v>2660</v>
      </c>
      <c r="F13" s="1">
        <v>0</v>
      </c>
      <c r="G13" s="1">
        <v>5000</v>
      </c>
      <c r="H13" s="1">
        <f>'302 Roads, Footpaths, Commons'!G30</f>
        <v>340</v>
      </c>
      <c r="I13" s="103">
        <v>0</v>
      </c>
      <c r="J13" s="1">
        <f t="shared" si="0"/>
        <v>5000</v>
      </c>
      <c r="K13" s="501" t="s">
        <v>243</v>
      </c>
    </row>
    <row r="14" spans="2:11" ht="40.200000000000003" customHeight="1" x14ac:dyDescent="0.3">
      <c r="B14" s="80">
        <v>354</v>
      </c>
      <c r="C14" s="81" t="s">
        <v>20</v>
      </c>
      <c r="D14" s="1">
        <v>22650</v>
      </c>
      <c r="E14" s="1">
        <f>'101 Admin'!D24</f>
        <v>275</v>
      </c>
      <c r="F14" s="1">
        <v>0</v>
      </c>
      <c r="G14" s="1">
        <v>5050</v>
      </c>
      <c r="H14" s="1">
        <f>'101 Admin'!G39</f>
        <v>2425</v>
      </c>
      <c r="I14" s="1">
        <v>0</v>
      </c>
      <c r="J14" s="1">
        <f t="shared" si="0"/>
        <v>25000</v>
      </c>
      <c r="K14" s="501" t="s">
        <v>279</v>
      </c>
    </row>
    <row r="15" spans="2:11" x14ac:dyDescent="0.3">
      <c r="B15" s="80">
        <v>356</v>
      </c>
      <c r="C15" s="81" t="s">
        <v>88</v>
      </c>
      <c r="D15" s="1">
        <v>8357</v>
      </c>
      <c r="E15" s="1">
        <v>0</v>
      </c>
      <c r="F15" s="1">
        <v>0</v>
      </c>
      <c r="G15" s="1">
        <v>0</v>
      </c>
      <c r="H15" s="1">
        <f>'805 Community Projects'!F12</f>
        <v>17</v>
      </c>
      <c r="I15" s="1">
        <v>0</v>
      </c>
      <c r="J15" s="1">
        <f t="shared" si="0"/>
        <v>8340</v>
      </c>
      <c r="K15" s="501" t="s">
        <v>244</v>
      </c>
    </row>
    <row r="16" spans="2:11" ht="27" x14ac:dyDescent="0.3">
      <c r="B16" s="80">
        <v>357</v>
      </c>
      <c r="C16" s="81" t="s">
        <v>90</v>
      </c>
      <c r="D16" s="1">
        <v>10750</v>
      </c>
      <c r="E16" s="1"/>
      <c r="F16" s="1">
        <v>0</v>
      </c>
      <c r="G16" s="1">
        <v>4237</v>
      </c>
      <c r="H16" s="1">
        <f>'101 Admin'!G37</f>
        <v>4987</v>
      </c>
      <c r="I16" s="1">
        <v>0</v>
      </c>
      <c r="J16" s="1">
        <f t="shared" si="0"/>
        <v>10000</v>
      </c>
      <c r="K16" s="501" t="s">
        <v>220</v>
      </c>
    </row>
    <row r="17" spans="2:11" ht="16.2" thickBot="1" x14ac:dyDescent="0.35">
      <c r="B17" s="71"/>
      <c r="C17" s="68" t="s">
        <v>21</v>
      </c>
      <c r="D17" s="77"/>
      <c r="E17" s="77">
        <f>SUM(E6:E16)</f>
        <v>5155</v>
      </c>
      <c r="F17" s="77">
        <f>SUM(F5:F16)</f>
        <v>50000</v>
      </c>
      <c r="G17" s="77">
        <f>SUM(G6:G16)</f>
        <v>41807</v>
      </c>
      <c r="H17" s="77">
        <f>SUM(H6:H16)</f>
        <v>67128</v>
      </c>
      <c r="I17" s="77">
        <f>SUM(I6:I16)</f>
        <v>0</v>
      </c>
      <c r="J17" s="112"/>
      <c r="K17" s="363"/>
    </row>
    <row r="18" spans="2:11" ht="31.2" customHeight="1" thickBot="1" x14ac:dyDescent="0.35">
      <c r="B18" s="71"/>
      <c r="C18" s="68" t="s">
        <v>22</v>
      </c>
      <c r="D18" s="77">
        <f>SUM(D6:D16)</f>
        <v>432227</v>
      </c>
      <c r="E18" s="77"/>
      <c r="F18" s="112"/>
      <c r="G18" s="112"/>
      <c r="H18" s="112"/>
      <c r="I18" s="112"/>
      <c r="J18" s="77">
        <f>SUM(J6:J17)</f>
        <v>343798.52</v>
      </c>
      <c r="K18" s="363"/>
    </row>
    <row r="19" spans="2:11" ht="28.2" customHeight="1" thickBot="1" x14ac:dyDescent="0.35">
      <c r="B19"/>
      <c r="D19" s="120"/>
      <c r="E19" s="120"/>
      <c r="F19" s="365"/>
      <c r="G19" s="365"/>
      <c r="H19" s="365"/>
      <c r="I19" s="365"/>
      <c r="J19" s="365"/>
      <c r="K19" s="365"/>
    </row>
    <row r="20" spans="2:11" ht="66.599999999999994" customHeight="1" thickBot="1" x14ac:dyDescent="0.35">
      <c r="B20" s="259" t="s">
        <v>23</v>
      </c>
      <c r="C20" s="260"/>
      <c r="D20" s="261">
        <v>45383</v>
      </c>
      <c r="E20" s="261" t="s">
        <v>193</v>
      </c>
      <c r="F20" s="261" t="s">
        <v>184</v>
      </c>
      <c r="G20" s="261"/>
      <c r="H20" s="261" t="s">
        <v>195</v>
      </c>
      <c r="I20" s="262" t="s">
        <v>13</v>
      </c>
      <c r="J20" s="261">
        <v>45747</v>
      </c>
      <c r="K20" s="366"/>
    </row>
    <row r="21" spans="2:11" ht="19.2" customHeight="1" x14ac:dyDescent="0.3">
      <c r="B21" s="301">
        <v>325</v>
      </c>
      <c r="C21" s="302"/>
      <c r="D21" s="139"/>
      <c r="E21" s="139"/>
      <c r="F21" s="139"/>
      <c r="G21" s="139"/>
      <c r="H21" s="139"/>
      <c r="I21" s="139"/>
      <c r="J21" s="139"/>
      <c r="K21" s="367"/>
    </row>
    <row r="22" spans="2:11" ht="46.95" customHeight="1" x14ac:dyDescent="0.3">
      <c r="B22" s="264">
        <v>334</v>
      </c>
      <c r="C22" s="263" t="s">
        <v>24</v>
      </c>
      <c r="D22" s="1">
        <v>16889</v>
      </c>
      <c r="E22" s="1">
        <f>'101 Admin'!D25</f>
        <v>3890</v>
      </c>
      <c r="F22" s="1">
        <v>0</v>
      </c>
      <c r="G22" s="1">
        <v>0</v>
      </c>
      <c r="H22" s="1">
        <f>IF('101 Admin'!G$46&gt;D22-E22,D22-E22,'101 Admin'!G$46)</f>
        <v>12999</v>
      </c>
      <c r="I22" s="1">
        <v>0</v>
      </c>
      <c r="J22" s="1">
        <f>D22-E22+F22-H22+I22</f>
        <v>0</v>
      </c>
      <c r="K22" s="541"/>
    </row>
    <row r="23" spans="2:11" x14ac:dyDescent="0.3">
      <c r="B23" s="264">
        <v>335</v>
      </c>
      <c r="C23" s="263" t="s">
        <v>121</v>
      </c>
      <c r="D23" s="1">
        <v>17393</v>
      </c>
      <c r="E23" s="1"/>
      <c r="F23" s="1">
        <v>0</v>
      </c>
      <c r="G23" s="1">
        <v>0</v>
      </c>
      <c r="H23" s="1">
        <f>IF(('101 Admin'!G$46-H22)&gt;D23-E23,D23-E23,'101 Admin'!G$46)</f>
        <v>17393</v>
      </c>
      <c r="I23" s="1">
        <v>0</v>
      </c>
      <c r="J23" s="1">
        <f>D23-E23+F23-H23+I23</f>
        <v>0</v>
      </c>
      <c r="K23" s="501"/>
    </row>
    <row r="24" spans="2:11" x14ac:dyDescent="0.3">
      <c r="B24" s="264">
        <v>336</v>
      </c>
      <c r="C24" s="263" t="s">
        <v>159</v>
      </c>
      <c r="D24" s="1">
        <v>81915</v>
      </c>
      <c r="E24" s="1"/>
      <c r="F24" s="1">
        <v>0</v>
      </c>
      <c r="G24" s="1">
        <v>0</v>
      </c>
      <c r="H24" s="1">
        <f>IF(('101 Admin'!G$46-H23-H22)&gt;D24-E24,D24-E24,'101 Admin'!G$46-H22-H23)</f>
        <v>9608</v>
      </c>
      <c r="I24" s="1">
        <v>0</v>
      </c>
      <c r="J24" s="1">
        <f t="shared" ref="J24:J25" si="1">D24-E24+F24-H24+I24</f>
        <v>72307</v>
      </c>
      <c r="K24" s="501"/>
    </row>
    <row r="25" spans="2:11" x14ac:dyDescent="0.3">
      <c r="B25" s="264"/>
      <c r="C25" s="263" t="s">
        <v>194</v>
      </c>
      <c r="D25" s="1">
        <v>0</v>
      </c>
      <c r="E25" s="1"/>
      <c r="F25" s="1">
        <f>'100 Income'!G30</f>
        <v>173294.69999999998</v>
      </c>
      <c r="G25" s="1"/>
      <c r="H25" s="1"/>
      <c r="I25" s="1"/>
      <c r="J25" s="1">
        <f t="shared" si="1"/>
        <v>173294.69999999998</v>
      </c>
      <c r="K25" s="362"/>
    </row>
    <row r="26" spans="2:11" ht="16.2" thickBot="1" x14ac:dyDescent="0.35">
      <c r="B26" s="264"/>
      <c r="C26" s="263"/>
      <c r="D26" s="1"/>
      <c r="E26" s="1"/>
      <c r="F26" s="1"/>
      <c r="G26" s="1"/>
      <c r="H26" s="1"/>
      <c r="I26" s="1"/>
      <c r="J26" s="1"/>
      <c r="K26" s="368"/>
    </row>
    <row r="27" spans="2:11" ht="25.2" customHeight="1" x14ac:dyDescent="0.3">
      <c r="B27" s="265"/>
      <c r="C27" s="266" t="s">
        <v>21</v>
      </c>
      <c r="D27" s="267"/>
      <c r="E27" s="267">
        <f>SUM(E21:E26)</f>
        <v>3890</v>
      </c>
      <c r="F27" s="267">
        <f>SUM(F21:F26)</f>
        <v>173294.69999999998</v>
      </c>
      <c r="G27" s="267">
        <f>SUM(G21:G26)</f>
        <v>0</v>
      </c>
      <c r="H27" s="267">
        <f>SUM(H21:H26)</f>
        <v>40000</v>
      </c>
      <c r="I27" s="267">
        <f>SUM(I21:I26)</f>
        <v>0</v>
      </c>
      <c r="J27" s="267"/>
      <c r="K27" s="369"/>
    </row>
    <row r="28" spans="2:11" ht="28.2" customHeight="1" x14ac:dyDescent="0.3">
      <c r="B28" s="268"/>
      <c r="C28" s="269" t="s">
        <v>25</v>
      </c>
      <c r="D28" s="102">
        <f>SUM(D21:D26)</f>
        <v>116197</v>
      </c>
      <c r="E28" s="102"/>
      <c r="F28" s="102"/>
      <c r="G28" s="102"/>
      <c r="H28" s="102"/>
      <c r="I28" s="102"/>
      <c r="J28" s="102">
        <f>SUM(J21:J26)</f>
        <v>245601.69999999998</v>
      </c>
      <c r="K28" s="370"/>
    </row>
    <row r="29" spans="2:11" x14ac:dyDescent="0.3">
      <c r="B29" s="270"/>
      <c r="C29" s="120"/>
      <c r="D29" s="120"/>
      <c r="E29" s="120"/>
      <c r="F29" s="120"/>
      <c r="G29" s="364"/>
      <c r="H29" s="364"/>
      <c r="I29" s="364"/>
      <c r="J29" s="364"/>
      <c r="K29" s="371"/>
    </row>
    <row r="30" spans="2:11" ht="15" customHeight="1" thickBot="1" x14ac:dyDescent="0.35">
      <c r="B30" s="270"/>
      <c r="C30" s="120"/>
      <c r="D30" s="120"/>
      <c r="E30" s="120"/>
      <c r="F30" s="120"/>
      <c r="G30" s="364"/>
      <c r="H30" s="364"/>
      <c r="I30" s="364"/>
      <c r="J30" s="364"/>
      <c r="K30" s="364"/>
    </row>
    <row r="31" spans="2:11" ht="31.2" customHeight="1" thickBot="1" x14ac:dyDescent="0.35">
      <c r="B31" s="271"/>
      <c r="C31" s="272" t="s">
        <v>26</v>
      </c>
      <c r="D31" s="273">
        <f>D18+D28</f>
        <v>548424</v>
      </c>
      <c r="E31" s="273"/>
      <c r="F31" s="273"/>
      <c r="G31" s="273"/>
      <c r="H31" s="273"/>
      <c r="I31" s="273"/>
      <c r="J31" s="273">
        <f>J18+J28</f>
        <v>589400.22</v>
      </c>
      <c r="K31" s="372"/>
    </row>
    <row r="32" spans="2:11" ht="15" customHeight="1" x14ac:dyDescent="0.3"/>
    <row r="33" spans="3:10" ht="15" customHeight="1" x14ac:dyDescent="0.3">
      <c r="C33" s="555" t="s">
        <v>235</v>
      </c>
      <c r="D33" s="555"/>
      <c r="E33" s="555"/>
      <c r="F33" s="555"/>
      <c r="G33" s="555"/>
      <c r="H33" s="555"/>
      <c r="I33" s="555"/>
      <c r="J33" s="555"/>
    </row>
    <row r="34" spans="3:10" ht="15" customHeight="1" x14ac:dyDescent="0.3">
      <c r="C34" s="113">
        <f>'Budget Summary'!H14</f>
        <v>201652.95</v>
      </c>
      <c r="D34" s="554" t="s">
        <v>27</v>
      </c>
      <c r="E34" s="554"/>
      <c r="F34" s="554"/>
      <c r="G34" s="554"/>
      <c r="H34" s="554"/>
      <c r="I34" s="554"/>
      <c r="J34" s="554"/>
    </row>
    <row r="35" spans="3:10" ht="15" customHeight="1" x14ac:dyDescent="0.3">
      <c r="C35" s="113">
        <f>C34*0.25</f>
        <v>50413.237500000003</v>
      </c>
      <c r="D35" s="554" t="s">
        <v>236</v>
      </c>
      <c r="E35" s="554"/>
      <c r="F35" s="554"/>
      <c r="G35" s="554"/>
      <c r="H35" s="554"/>
      <c r="I35" s="554"/>
      <c r="J35" s="554"/>
    </row>
    <row r="36" spans="3:10" ht="15" customHeight="1" x14ac:dyDescent="0.3">
      <c r="C36" s="114">
        <v>50000</v>
      </c>
      <c r="D36" s="554" t="s">
        <v>238</v>
      </c>
      <c r="E36" s="554"/>
      <c r="F36" s="554"/>
      <c r="G36" s="554"/>
      <c r="H36" s="554"/>
      <c r="I36" s="554"/>
      <c r="J36" s="554"/>
    </row>
    <row r="37" spans="3:10" ht="15" customHeight="1" x14ac:dyDescent="0.3">
      <c r="C37" s="115"/>
      <c r="D37" s="554"/>
      <c r="E37" s="554"/>
      <c r="F37" s="554"/>
      <c r="G37" s="554"/>
      <c r="H37" s="554"/>
      <c r="I37" s="554"/>
      <c r="J37" s="554"/>
    </row>
    <row r="38" spans="3:10" ht="15" customHeight="1" x14ac:dyDescent="0.3"/>
    <row r="39" spans="3:10" ht="15" customHeight="1" x14ac:dyDescent="0.3"/>
    <row r="40" spans="3:10" ht="15" customHeight="1" x14ac:dyDescent="0.3">
      <c r="D40" s="295"/>
      <c r="E40" s="295"/>
      <c r="F40" s="296"/>
    </row>
    <row r="41" spans="3:10" ht="15" customHeight="1" x14ac:dyDescent="0.3">
      <c r="D41" s="296"/>
      <c r="E41" s="296"/>
      <c r="F41" s="296"/>
    </row>
    <row r="42" spans="3:10" ht="15" customHeight="1" x14ac:dyDescent="0.3">
      <c r="D42" s="296"/>
      <c r="E42" s="296"/>
      <c r="F42" s="296"/>
    </row>
    <row r="43" spans="3:10" ht="15" customHeight="1" x14ac:dyDescent="0.3">
      <c r="D43" s="296"/>
      <c r="E43" s="296"/>
      <c r="F43" s="296"/>
    </row>
    <row r="44" spans="3:10" ht="15" customHeight="1" x14ac:dyDescent="0.3">
      <c r="D44" s="296"/>
      <c r="E44" s="296"/>
      <c r="F44" s="296"/>
    </row>
    <row r="45" spans="3:10" ht="15" customHeight="1" x14ac:dyDescent="0.3">
      <c r="D45" s="296"/>
      <c r="E45" s="296"/>
      <c r="F45" s="296"/>
    </row>
    <row r="46" spans="3:10" ht="15" customHeight="1" x14ac:dyDescent="0.3"/>
    <row r="47" spans="3:10" ht="15" customHeight="1" x14ac:dyDescent="0.3"/>
  </sheetData>
  <mergeCells count="5">
    <mergeCell ref="D37:J37"/>
    <mergeCell ref="C33:J33"/>
    <mergeCell ref="D34:J34"/>
    <mergeCell ref="D35:J35"/>
    <mergeCell ref="D36:J36"/>
  </mergeCells>
  <phoneticPr fontId="13" type="noConversion"/>
  <pageMargins left="0.75000000000000011" right="0.75000000000000011" top="1" bottom="1" header="0.5" footer="0.5"/>
  <pageSetup paperSize="9" scale="63" orientation="landscape" r:id="rId1"/>
  <ignoredErrors>
    <ignoredError sqref="D2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41"/>
  <sheetViews>
    <sheetView topLeftCell="A11" workbookViewId="0">
      <selection activeCell="H12" sqref="H12"/>
    </sheetView>
  </sheetViews>
  <sheetFormatPr defaultColWidth="11.19921875" defaultRowHeight="15.6" x14ac:dyDescent="0.3"/>
  <cols>
    <col min="1" max="1" width="5.19921875" customWidth="1"/>
    <col min="2" max="2" width="10.69921875" customWidth="1"/>
    <col min="3" max="3" width="35" customWidth="1"/>
    <col min="4" max="11" width="13.5" customWidth="1"/>
    <col min="12" max="12" width="61.8984375"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28</v>
      </c>
      <c r="C3" s="330"/>
      <c r="D3" s="331"/>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5">
        <v>1010</v>
      </c>
      <c r="C5" s="52" t="s">
        <v>31</v>
      </c>
      <c r="D5" s="129">
        <v>535</v>
      </c>
      <c r="E5" s="78">
        <v>0</v>
      </c>
      <c r="F5" s="78">
        <v>0</v>
      </c>
      <c r="G5" s="433">
        <v>0</v>
      </c>
      <c r="H5" s="117">
        <v>0</v>
      </c>
      <c r="I5" s="124" t="str">
        <f t="shared" ref="I5:I36" si="0">IFERROR(G5/E5,"n/a")</f>
        <v>n/a</v>
      </c>
      <c r="J5" s="124" t="str">
        <f t="shared" ref="J5:J36" si="1">IFERROR(H5/E5,"n/a")</f>
        <v>n/a</v>
      </c>
      <c r="K5" s="124" t="str">
        <f>IFERROR(H5/G5,"n/a")</f>
        <v>n/a</v>
      </c>
      <c r="L5" s="503"/>
    </row>
    <row r="6" spans="2:12" x14ac:dyDescent="0.3">
      <c r="B6" s="14"/>
      <c r="C6" s="49"/>
      <c r="D6" s="83"/>
      <c r="E6" s="121"/>
      <c r="F6" s="121"/>
      <c r="G6" s="122"/>
      <c r="H6" s="400"/>
      <c r="I6" s="125"/>
      <c r="J6" s="125"/>
      <c r="K6" s="125"/>
      <c r="L6" s="504"/>
    </row>
    <row r="7" spans="2:12" s="175" customFormat="1" x14ac:dyDescent="0.3">
      <c r="B7" s="432">
        <v>1107</v>
      </c>
      <c r="C7" s="52" t="s">
        <v>114</v>
      </c>
      <c r="D7" s="129">
        <v>0</v>
      </c>
      <c r="E7" s="78">
        <v>1.96</v>
      </c>
      <c r="F7" s="78">
        <v>300</v>
      </c>
      <c r="G7" s="494">
        <v>0</v>
      </c>
      <c r="H7" s="78">
        <v>0</v>
      </c>
      <c r="I7" s="124">
        <f t="shared" si="0"/>
        <v>0</v>
      </c>
      <c r="J7" s="124">
        <f t="shared" si="1"/>
        <v>0</v>
      </c>
      <c r="K7" s="124" t="str">
        <f>IFERROR(H7/G7,"n/a")</f>
        <v>n/a</v>
      </c>
      <c r="L7" s="505"/>
    </row>
    <row r="8" spans="2:12" x14ac:dyDescent="0.3">
      <c r="B8" s="9"/>
      <c r="C8" s="49"/>
      <c r="D8" s="83"/>
      <c r="E8" s="82"/>
      <c r="F8" s="82"/>
      <c r="G8" s="119"/>
      <c r="H8" s="118"/>
      <c r="I8" s="123"/>
      <c r="J8" s="123"/>
      <c r="K8" s="123"/>
      <c r="L8" s="506"/>
    </row>
    <row r="9" spans="2:12" x14ac:dyDescent="0.3">
      <c r="B9" s="15">
        <v>1020</v>
      </c>
      <c r="C9" s="52" t="s">
        <v>32</v>
      </c>
      <c r="D9" s="129">
        <v>243</v>
      </c>
      <c r="E9" s="78">
        <v>243</v>
      </c>
      <c r="F9" s="78">
        <v>0</v>
      </c>
      <c r="G9" s="433">
        <v>243</v>
      </c>
      <c r="H9" s="117">
        <v>243</v>
      </c>
      <c r="I9" s="124">
        <f t="shared" si="0"/>
        <v>1</v>
      </c>
      <c r="J9" s="124">
        <f t="shared" si="1"/>
        <v>1</v>
      </c>
      <c r="K9" s="124">
        <f>IFERROR(H9/G9,"n/a")</f>
        <v>1</v>
      </c>
      <c r="L9" s="507" t="s">
        <v>245</v>
      </c>
    </row>
    <row r="10" spans="2:12" x14ac:dyDescent="0.3">
      <c r="B10" s="9"/>
      <c r="C10" s="49"/>
      <c r="D10" s="83"/>
      <c r="E10" s="82"/>
      <c r="F10" s="82"/>
      <c r="G10" s="119"/>
      <c r="H10" s="118"/>
      <c r="I10" s="123"/>
      <c r="J10" s="123"/>
      <c r="K10" s="123"/>
      <c r="L10" s="506"/>
    </row>
    <row r="11" spans="2:12" ht="27" x14ac:dyDescent="0.3">
      <c r="B11" s="15">
        <v>1076</v>
      </c>
      <c r="C11" s="52" t="s">
        <v>33</v>
      </c>
      <c r="D11" s="129">
        <v>149319</v>
      </c>
      <c r="E11" s="78">
        <v>149319</v>
      </c>
      <c r="F11" s="78">
        <v>74659.5</v>
      </c>
      <c r="G11" s="433">
        <v>149319</v>
      </c>
      <c r="H11" s="165">
        <v>161729</v>
      </c>
      <c r="I11" s="124">
        <f t="shared" si="0"/>
        <v>1</v>
      </c>
      <c r="J11" s="124">
        <f t="shared" si="1"/>
        <v>1.0831106557102579</v>
      </c>
      <c r="K11" s="124">
        <f>IFERROR(H11/G11,"n/a")</f>
        <v>1.0831106557102579</v>
      </c>
      <c r="L11" s="505" t="s">
        <v>246</v>
      </c>
    </row>
    <row r="12" spans="2:12" x14ac:dyDescent="0.3">
      <c r="B12" s="9"/>
      <c r="C12" s="49"/>
      <c r="D12" s="83">
        <v>0</v>
      </c>
      <c r="E12" s="82"/>
      <c r="F12" s="82"/>
      <c r="G12" s="119"/>
      <c r="H12" s="118"/>
      <c r="I12" s="123"/>
      <c r="J12" s="123"/>
      <c r="K12" s="123"/>
      <c r="L12" s="508"/>
    </row>
    <row r="13" spans="2:12" ht="40.200000000000003" x14ac:dyDescent="0.3">
      <c r="B13" s="15">
        <v>1090</v>
      </c>
      <c r="C13" s="52" t="s">
        <v>34</v>
      </c>
      <c r="D13" s="129">
        <v>26210</v>
      </c>
      <c r="E13" s="78">
        <v>18000</v>
      </c>
      <c r="F13" s="78">
        <v>12811.18</v>
      </c>
      <c r="G13" s="433">
        <v>26500</v>
      </c>
      <c r="H13" s="117">
        <v>24000</v>
      </c>
      <c r="I13" s="124">
        <f t="shared" si="0"/>
        <v>1.4722222222222223</v>
      </c>
      <c r="J13" s="124">
        <f t="shared" si="1"/>
        <v>1.3333333333333333</v>
      </c>
      <c r="K13" s="124">
        <f>IFERROR(H13/G13,"n/a")</f>
        <v>0.90566037735849059</v>
      </c>
      <c r="L13" s="505" t="s">
        <v>247</v>
      </c>
    </row>
    <row r="14" spans="2:12" x14ac:dyDescent="0.3">
      <c r="B14" s="9"/>
      <c r="C14" s="49"/>
      <c r="D14" s="83"/>
      <c r="E14" s="82"/>
      <c r="F14" s="82"/>
      <c r="G14" s="119"/>
      <c r="H14" s="118"/>
      <c r="I14" s="123"/>
      <c r="J14" s="123"/>
      <c r="K14" s="123"/>
      <c r="L14" s="508"/>
    </row>
    <row r="15" spans="2:12" x14ac:dyDescent="0.3">
      <c r="B15" s="15">
        <v>1100</v>
      </c>
      <c r="C15" s="52" t="s">
        <v>35</v>
      </c>
      <c r="D15" s="129">
        <v>5855</v>
      </c>
      <c r="E15" s="78">
        <v>5400</v>
      </c>
      <c r="F15" s="78">
        <v>0</v>
      </c>
      <c r="G15" s="433">
        <v>0</v>
      </c>
      <c r="H15" s="117">
        <v>0</v>
      </c>
      <c r="I15" s="124">
        <f t="shared" si="0"/>
        <v>0</v>
      </c>
      <c r="J15" s="124">
        <f t="shared" si="1"/>
        <v>0</v>
      </c>
      <c r="K15" s="124" t="str">
        <f>IFERROR(H15/G15,"n/a")</f>
        <v>n/a</v>
      </c>
      <c r="L15" s="509"/>
    </row>
    <row r="16" spans="2:12" x14ac:dyDescent="0.3">
      <c r="B16" s="9"/>
      <c r="C16" s="49"/>
      <c r="D16" s="16"/>
      <c r="E16" s="82"/>
      <c r="F16" s="82"/>
      <c r="G16" s="119"/>
      <c r="H16" s="118"/>
      <c r="I16" s="123"/>
      <c r="J16" s="123"/>
      <c r="K16" s="123"/>
      <c r="L16" s="508"/>
    </row>
    <row r="17" spans="2:12" x14ac:dyDescent="0.3">
      <c r="B17" s="14">
        <v>1200</v>
      </c>
      <c r="C17" s="50" t="s">
        <v>36</v>
      </c>
      <c r="D17" s="17">
        <v>7967</v>
      </c>
      <c r="E17" s="82">
        <v>4218</v>
      </c>
      <c r="F17" s="82">
        <v>1183</v>
      </c>
      <c r="G17" s="122">
        <v>4225</v>
      </c>
      <c r="H17" s="400">
        <v>4429</v>
      </c>
      <c r="I17" s="123">
        <f t="shared" si="0"/>
        <v>1.0016595542911333</v>
      </c>
      <c r="J17" s="123">
        <f t="shared" si="1"/>
        <v>1.0500237079184447</v>
      </c>
      <c r="K17" s="123">
        <f>IFERROR(H17/G17,"n/a")</f>
        <v>1.048284023668639</v>
      </c>
      <c r="L17" s="502" t="s">
        <v>204</v>
      </c>
    </row>
    <row r="18" spans="2:12" x14ac:dyDescent="0.3">
      <c r="B18" s="14">
        <v>1201</v>
      </c>
      <c r="C18" s="50" t="s">
        <v>37</v>
      </c>
      <c r="D18" s="17">
        <v>3847</v>
      </c>
      <c r="E18" s="82">
        <v>2559.9</v>
      </c>
      <c r="F18" s="82">
        <v>1814</v>
      </c>
      <c r="G18" s="122">
        <v>4782</v>
      </c>
      <c r="H18" s="400">
        <v>4035</v>
      </c>
      <c r="I18" s="123">
        <f t="shared" si="0"/>
        <v>1.8680417203797022</v>
      </c>
      <c r="J18" s="123">
        <f t="shared" si="1"/>
        <v>1.5762334466190084</v>
      </c>
      <c r="K18" s="123">
        <f>IFERROR(H18/G18,"n/a")</f>
        <v>0.84378920953575909</v>
      </c>
      <c r="L18" s="502" t="s">
        <v>205</v>
      </c>
    </row>
    <row r="19" spans="2:12" x14ac:dyDescent="0.3">
      <c r="B19" s="15">
        <v>1202</v>
      </c>
      <c r="C19" s="53" t="s">
        <v>38</v>
      </c>
      <c r="D19" s="32">
        <v>1729</v>
      </c>
      <c r="E19" s="82">
        <v>1716</v>
      </c>
      <c r="F19" s="82">
        <v>742</v>
      </c>
      <c r="G19" s="433">
        <v>1736.5</v>
      </c>
      <c r="H19" s="117">
        <v>2172</v>
      </c>
      <c r="I19" s="126">
        <f t="shared" si="0"/>
        <v>1.0119463869463869</v>
      </c>
      <c r="J19" s="126">
        <f t="shared" si="1"/>
        <v>1.2657342657342658</v>
      </c>
      <c r="K19" s="123">
        <f>IFERROR(H19/G19,"n/a")</f>
        <v>1.2507918226317305</v>
      </c>
      <c r="L19" s="510" t="s">
        <v>208</v>
      </c>
    </row>
    <row r="20" spans="2:12" x14ac:dyDescent="0.3">
      <c r="B20" s="73"/>
      <c r="C20" s="89" t="s">
        <v>39</v>
      </c>
      <c r="D20" s="90">
        <f>SUM(D17:D19)</f>
        <v>13543</v>
      </c>
      <c r="E20" s="90">
        <f>SUM(E17:E19)</f>
        <v>8493.9</v>
      </c>
      <c r="F20" s="90">
        <f>SUM(F17:F19)</f>
        <v>3739</v>
      </c>
      <c r="G20" s="434">
        <f>SUM(G17:G19)</f>
        <v>10743.5</v>
      </c>
      <c r="H20" s="401">
        <f>SUM(H17:H19)</f>
        <v>10636</v>
      </c>
      <c r="I20" s="127">
        <f t="shared" si="0"/>
        <v>1.2648488915574707</v>
      </c>
      <c r="J20" s="127">
        <f t="shared" si="1"/>
        <v>1.252192750091242</v>
      </c>
      <c r="K20" s="127">
        <f>IFERROR(H20/G20,"n/a")</f>
        <v>0.98999394983012989</v>
      </c>
      <c r="L20" s="511"/>
    </row>
    <row r="21" spans="2:12" x14ac:dyDescent="0.3">
      <c r="B21" s="14"/>
      <c r="C21" s="50"/>
      <c r="D21" s="17"/>
      <c r="E21" s="82"/>
      <c r="F21" s="82"/>
      <c r="G21" s="119"/>
      <c r="H21" s="118"/>
      <c r="I21" s="123"/>
      <c r="J21" s="123"/>
      <c r="K21" s="123"/>
      <c r="L21" s="508"/>
    </row>
    <row r="22" spans="2:12" ht="27" x14ac:dyDescent="0.3">
      <c r="B22" s="14">
        <v>1300</v>
      </c>
      <c r="C22" s="50" t="s">
        <v>40</v>
      </c>
      <c r="D22" s="17">
        <v>1235</v>
      </c>
      <c r="E22" s="82">
        <v>1837.14</v>
      </c>
      <c r="F22" s="82">
        <v>968</v>
      </c>
      <c r="G22" s="122">
        <v>1188</v>
      </c>
      <c r="H22" s="400">
        <v>1376</v>
      </c>
      <c r="I22" s="125">
        <f t="shared" si="0"/>
        <v>0.64665730428818702</v>
      </c>
      <c r="J22" s="125">
        <f t="shared" si="1"/>
        <v>0.74899027836746246</v>
      </c>
      <c r="K22" s="125">
        <f>IFERROR(H22/G22,"n/a")</f>
        <v>1.1582491582491583</v>
      </c>
      <c r="L22" s="510" t="s">
        <v>209</v>
      </c>
    </row>
    <row r="23" spans="2:12" x14ac:dyDescent="0.3">
      <c r="B23" s="14">
        <v>1301</v>
      </c>
      <c r="C23" s="50" t="s">
        <v>41</v>
      </c>
      <c r="D23" s="17">
        <v>11</v>
      </c>
      <c r="E23" s="82">
        <v>11</v>
      </c>
      <c r="F23" s="82">
        <v>11</v>
      </c>
      <c r="G23" s="122">
        <v>11</v>
      </c>
      <c r="H23" s="400">
        <v>11</v>
      </c>
      <c r="I23" s="123">
        <f t="shared" si="0"/>
        <v>1</v>
      </c>
      <c r="J23" s="123">
        <f t="shared" si="1"/>
        <v>1</v>
      </c>
      <c r="K23" s="123">
        <f>IFERROR(H23/G23,"n/a")</f>
        <v>1</v>
      </c>
      <c r="L23" s="502" t="s">
        <v>206</v>
      </c>
    </row>
    <row r="24" spans="2:12" x14ac:dyDescent="0.3">
      <c r="B24" s="14">
        <v>1305</v>
      </c>
      <c r="C24" s="50" t="s">
        <v>42</v>
      </c>
      <c r="D24" s="17">
        <v>2541</v>
      </c>
      <c r="E24" s="82">
        <v>2310</v>
      </c>
      <c r="F24" s="82">
        <v>2403</v>
      </c>
      <c r="G24" s="122">
        <v>2853</v>
      </c>
      <c r="H24" s="400">
        <v>2996</v>
      </c>
      <c r="I24" s="123">
        <f t="shared" ref="I24" si="2">IFERROR(G24/E24,"n/a")</f>
        <v>1.235064935064935</v>
      </c>
      <c r="J24" s="123">
        <f t="shared" ref="J24" si="3">IFERROR(H24/E24,"n/a")</f>
        <v>1.2969696969696969</v>
      </c>
      <c r="K24" s="123">
        <f>IFERROR(H24/G24,"n/a")</f>
        <v>1.0501226778829302</v>
      </c>
      <c r="L24" s="502" t="s">
        <v>207</v>
      </c>
    </row>
    <row r="25" spans="2:12" x14ac:dyDescent="0.3">
      <c r="B25" s="15">
        <v>1306</v>
      </c>
      <c r="C25" s="53" t="s">
        <v>91</v>
      </c>
      <c r="D25" s="32">
        <v>600</v>
      </c>
      <c r="E25" s="82">
        <v>630</v>
      </c>
      <c r="F25" s="382">
        <v>595</v>
      </c>
      <c r="G25" s="433">
        <v>630</v>
      </c>
      <c r="H25" s="117">
        <v>661.5</v>
      </c>
      <c r="I25" s="124">
        <f t="shared" si="0"/>
        <v>1</v>
      </c>
      <c r="J25" s="124">
        <f t="shared" si="1"/>
        <v>1.05</v>
      </c>
      <c r="K25" s="124">
        <f>IFERROR(H25/G25,"n/a")</f>
        <v>1.05</v>
      </c>
      <c r="L25" s="507" t="s">
        <v>164</v>
      </c>
    </row>
    <row r="26" spans="2:12" x14ac:dyDescent="0.3">
      <c r="B26" s="74"/>
      <c r="C26" s="91" t="s">
        <v>43</v>
      </c>
      <c r="D26" s="38">
        <f>SUM(D22:D25)</f>
        <v>4387</v>
      </c>
      <c r="E26" s="90">
        <f>SUM(E22:E25)</f>
        <v>4788.1400000000003</v>
      </c>
      <c r="F26" s="38">
        <f>SUM(F22:F25)</f>
        <v>3977</v>
      </c>
      <c r="G26" s="433">
        <f>SUM(G22:G25)</f>
        <v>4682</v>
      </c>
      <c r="H26" s="401">
        <f>SUM(H22:H25)</f>
        <v>5044.5</v>
      </c>
      <c r="I26" s="124"/>
      <c r="J26" s="124">
        <f t="shared" si="1"/>
        <v>1.0535406232900457</v>
      </c>
      <c r="K26" s="124">
        <f>IFERROR(H26/G26,"n/a")</f>
        <v>1.0774241777018367</v>
      </c>
      <c r="L26" s="512"/>
    </row>
    <row r="27" spans="2:12" x14ac:dyDescent="0.3">
      <c r="B27" s="39"/>
      <c r="C27" s="48"/>
      <c r="D27" s="1"/>
      <c r="E27" s="82"/>
      <c r="F27" s="82"/>
      <c r="G27" s="119"/>
      <c r="H27" s="118"/>
      <c r="I27" s="123"/>
      <c r="J27" s="123"/>
      <c r="K27" s="123"/>
      <c r="L27" s="508"/>
    </row>
    <row r="28" spans="2:12" ht="21" customHeight="1" x14ac:dyDescent="0.3">
      <c r="B28" s="20"/>
      <c r="C28" s="55" t="s">
        <v>44</v>
      </c>
      <c r="D28" s="4">
        <f>D5+D7+D9+D11+D13+D15+D20+D26</f>
        <v>200092</v>
      </c>
      <c r="E28" s="4">
        <f>+E5+E7+E9+E11+E13+E15+E20+E26</f>
        <v>186246</v>
      </c>
      <c r="F28" s="4">
        <f>+F5+F7+F9+F11+F13+F15+F20+F26</f>
        <v>95486.68</v>
      </c>
      <c r="G28" s="435">
        <f>+G5+G7+G9+G11+G13+G15+G20+G26</f>
        <v>191487.5</v>
      </c>
      <c r="H28" s="402">
        <f>+H5+H7+H9+H11+H13+H15+H20+H26</f>
        <v>201652.5</v>
      </c>
      <c r="I28" s="128">
        <f t="shared" si="0"/>
        <v>1.0281428862901754</v>
      </c>
      <c r="J28" s="128">
        <f t="shared" si="1"/>
        <v>1.0827212396507844</v>
      </c>
      <c r="K28" s="128">
        <f>IFERROR(H28/G28,"n/a")</f>
        <v>1.0530844049872707</v>
      </c>
      <c r="L28" s="465"/>
    </row>
    <row r="29" spans="2:12" x14ac:dyDescent="0.3">
      <c r="B29" s="274"/>
      <c r="C29" s="135"/>
      <c r="D29" s="1"/>
      <c r="E29" s="360"/>
      <c r="F29" s="1"/>
      <c r="G29" s="1"/>
      <c r="H29" s="118"/>
      <c r="I29" s="123"/>
      <c r="J29" s="123"/>
      <c r="K29" s="123"/>
      <c r="L29" s="379"/>
    </row>
    <row r="30" spans="2:12" x14ac:dyDescent="0.3">
      <c r="B30" s="290">
        <v>1106</v>
      </c>
      <c r="C30" s="135" t="s">
        <v>112</v>
      </c>
      <c r="D30" s="1">
        <v>81915</v>
      </c>
      <c r="E30" s="1">
        <v>0</v>
      </c>
      <c r="F30" s="1">
        <v>89022</v>
      </c>
      <c r="G30" s="107">
        <f>CIL!D14</f>
        <v>173294.69999999998</v>
      </c>
      <c r="H30" s="495">
        <f>CIL!D23</f>
        <v>91022.22</v>
      </c>
      <c r="I30" s="123" t="str">
        <f t="shared" ref="I30" si="4">IFERROR(G30/E30,"n/a")</f>
        <v>n/a</v>
      </c>
      <c r="J30" s="123" t="str">
        <f t="shared" ref="J30" si="5">IFERROR(H30/E30,"n/a")</f>
        <v>n/a</v>
      </c>
      <c r="K30" s="123">
        <f>IFERROR(H30/G30,"n/a")</f>
        <v>0.52524526139576111</v>
      </c>
      <c r="L30" s="502" t="s">
        <v>219</v>
      </c>
    </row>
    <row r="31" spans="2:12" x14ac:dyDescent="0.3">
      <c r="B31" s="274"/>
      <c r="C31" s="135"/>
      <c r="D31" s="1"/>
      <c r="E31" s="1"/>
      <c r="F31" s="1"/>
      <c r="G31" s="436"/>
      <c r="H31" s="118"/>
      <c r="I31" s="123"/>
      <c r="J31" s="123"/>
      <c r="K31" s="123"/>
      <c r="L31" s="379"/>
    </row>
    <row r="32" spans="2:12" x14ac:dyDescent="0.3">
      <c r="B32" s="290">
        <v>1107</v>
      </c>
      <c r="C32" s="135" t="s">
        <v>114</v>
      </c>
      <c r="D32" s="1">
        <v>0</v>
      </c>
      <c r="E32" s="1">
        <v>0</v>
      </c>
      <c r="F32" s="1">
        <v>0</v>
      </c>
      <c r="G32" s="436">
        <v>0</v>
      </c>
      <c r="H32" s="118">
        <v>0</v>
      </c>
      <c r="I32" s="123" t="str">
        <f t="shared" ref="I32" si="6">IFERROR(G32/E32,"n/a")</f>
        <v>n/a</v>
      </c>
      <c r="J32" s="123" t="str">
        <f t="shared" ref="J32" si="7">IFERROR(H32/E32,"n/a")</f>
        <v>n/a</v>
      </c>
      <c r="K32" s="123" t="str">
        <f>IFERROR(H32/G32,"n/a")</f>
        <v>n/a</v>
      </c>
      <c r="L32" s="379"/>
    </row>
    <row r="33" spans="2:12" x14ac:dyDescent="0.3">
      <c r="B33" s="274"/>
      <c r="C33" s="135"/>
      <c r="D33" s="1"/>
      <c r="E33" s="1"/>
      <c r="F33" s="1"/>
      <c r="G33" s="436"/>
      <c r="H33" s="118"/>
      <c r="I33" s="123"/>
      <c r="J33" s="123"/>
      <c r="K33" s="123"/>
      <c r="L33" s="379"/>
    </row>
    <row r="34" spans="2:12" ht="25.2" customHeight="1" x14ac:dyDescent="0.3">
      <c r="B34" s="275"/>
      <c r="C34" s="276" t="s">
        <v>104</v>
      </c>
      <c r="D34" s="66">
        <f>SUM(D29:D33)</f>
        <v>81915</v>
      </c>
      <c r="E34" s="277">
        <f>SUM(E29:E33)</f>
        <v>0</v>
      </c>
      <c r="F34" s="277">
        <f>SUM(F29:F33)</f>
        <v>89022</v>
      </c>
      <c r="G34" s="437">
        <f>SUM(G29:G33)</f>
        <v>173294.69999999998</v>
      </c>
      <c r="H34" s="405">
        <f>SUM(H29:H33)</f>
        <v>91022.22</v>
      </c>
      <c r="I34" s="279" t="str">
        <f t="shared" si="0"/>
        <v>n/a</v>
      </c>
      <c r="J34" s="279" t="str">
        <f t="shared" si="1"/>
        <v>n/a</v>
      </c>
      <c r="K34" s="279">
        <f>IFERROR(H34/G34,"n/a")</f>
        <v>0.52524526139576111</v>
      </c>
      <c r="L34" s="466"/>
    </row>
    <row r="35" spans="2:12" x14ac:dyDescent="0.3">
      <c r="B35" s="274"/>
      <c r="C35" s="135"/>
      <c r="D35" s="1"/>
      <c r="E35" s="1"/>
      <c r="F35" s="1"/>
      <c r="G35" s="436"/>
      <c r="H35" s="118"/>
      <c r="I35" s="123"/>
      <c r="J35" s="123"/>
      <c r="K35" s="123"/>
      <c r="L35" s="379"/>
    </row>
    <row r="36" spans="2:12" ht="25.2" customHeight="1" thickBot="1" x14ac:dyDescent="0.35">
      <c r="B36" s="280"/>
      <c r="C36" s="56" t="s">
        <v>45</v>
      </c>
      <c r="D36" s="18">
        <f>+D28+D34</f>
        <v>282007</v>
      </c>
      <c r="E36" s="18">
        <f>+E28+E34</f>
        <v>186246</v>
      </c>
      <c r="F36" s="18">
        <f>+F28+F34</f>
        <v>184508.68</v>
      </c>
      <c r="G36" s="438">
        <f>+G28+G34</f>
        <v>364782.19999999995</v>
      </c>
      <c r="H36" s="406">
        <f>+H28+H34</f>
        <v>292674.71999999997</v>
      </c>
      <c r="I36" s="25">
        <f t="shared" si="0"/>
        <v>1.9586042116340752</v>
      </c>
      <c r="J36" s="25">
        <f t="shared" si="1"/>
        <v>1.5714416416996873</v>
      </c>
      <c r="K36" s="25">
        <f>IFERROR(H36/G36,"n/a")</f>
        <v>0.80232730654072493</v>
      </c>
      <c r="L36" s="467"/>
    </row>
    <row r="40" spans="2:12" ht="16.2" thickBot="1" x14ac:dyDescent="0.35"/>
    <row r="41" spans="2:12" ht="16.2" thickBot="1" x14ac:dyDescent="0.35">
      <c r="G41" s="84" t="s">
        <v>46</v>
      </c>
      <c r="H41" s="85">
        <f>SUM(H5:H35)-H17-H18-H19-H22-H23-H24-H25-H28-H36</f>
        <v>91022.219999999972</v>
      </c>
    </row>
  </sheetData>
  <phoneticPr fontId="13" type="noConversion"/>
  <pageMargins left="0.75000000000000011" right="0.75000000000000011" top="1" bottom="1" header="0.5" footer="0.5"/>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52"/>
  <sheetViews>
    <sheetView topLeftCell="A26" workbookViewId="0">
      <selection activeCell="L46" sqref="L46"/>
    </sheetView>
  </sheetViews>
  <sheetFormatPr defaultColWidth="11.19921875" defaultRowHeight="15.6" x14ac:dyDescent="0.3"/>
  <cols>
    <col min="1" max="1" width="4.19921875" customWidth="1"/>
    <col min="2" max="2" width="10.69921875" customWidth="1"/>
    <col min="3" max="3" width="35" customWidth="1"/>
    <col min="4" max="9" width="13.5" customWidth="1"/>
    <col min="10" max="11" width="13.5" style="69" customWidth="1"/>
    <col min="12" max="12" width="61.5"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157</v>
      </c>
      <c r="C3" s="330"/>
      <c r="D3" s="330"/>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9"/>
      <c r="C5" s="57"/>
      <c r="D5" s="28"/>
      <c r="E5" s="29"/>
      <c r="F5" s="29"/>
      <c r="G5" s="29"/>
      <c r="H5" s="30"/>
      <c r="I5" s="30"/>
      <c r="J5" s="30"/>
      <c r="K5" s="30"/>
      <c r="L5" s="59"/>
    </row>
    <row r="6" spans="2:12" ht="53.4" x14ac:dyDescent="0.3">
      <c r="B6" s="14">
        <v>4000</v>
      </c>
      <c r="C6" s="49" t="s">
        <v>47</v>
      </c>
      <c r="D6" s="16">
        <v>75565</v>
      </c>
      <c r="E6" s="1">
        <v>79601</v>
      </c>
      <c r="F6" s="1">
        <v>36083</v>
      </c>
      <c r="G6" s="436">
        <v>75810</v>
      </c>
      <c r="H6" s="103">
        <v>81738</v>
      </c>
      <c r="I6" s="96">
        <f t="shared" ref="I6:I23" si="0">IFERROR(G6/E6,"n/a")</f>
        <v>0.95237497016369144</v>
      </c>
      <c r="J6" s="96">
        <f t="shared" ref="J6:J23" si="1">IFERROR(H6/E6,"n/a")</f>
        <v>1.0268463964020553</v>
      </c>
      <c r="K6" s="96">
        <f>IFERROR(H6/G6,"n/a")</f>
        <v>1.0781954887218046</v>
      </c>
      <c r="L6" s="510" t="s">
        <v>278</v>
      </c>
    </row>
    <row r="7" spans="2:12" x14ac:dyDescent="0.3">
      <c r="B7" s="14">
        <v>4004</v>
      </c>
      <c r="C7" s="49" t="s">
        <v>92</v>
      </c>
      <c r="D7" s="16">
        <v>222</v>
      </c>
      <c r="E7" s="1">
        <v>264</v>
      </c>
      <c r="F7" s="1">
        <v>110</v>
      </c>
      <c r="G7" s="436">
        <v>264</v>
      </c>
      <c r="H7" s="103">
        <v>264</v>
      </c>
      <c r="I7" s="96">
        <f t="shared" si="0"/>
        <v>1</v>
      </c>
      <c r="J7" s="96">
        <f t="shared" si="1"/>
        <v>1</v>
      </c>
      <c r="K7" s="96">
        <f>IFERROR(H7/G7,"n/a")</f>
        <v>1</v>
      </c>
      <c r="L7" s="510" t="s">
        <v>248</v>
      </c>
    </row>
    <row r="8" spans="2:12" ht="16.2" customHeight="1" x14ac:dyDescent="0.3">
      <c r="B8" s="14">
        <v>4010</v>
      </c>
      <c r="C8" s="49" t="s">
        <v>48</v>
      </c>
      <c r="D8" s="16">
        <v>361</v>
      </c>
      <c r="E8" s="82">
        <v>1000</v>
      </c>
      <c r="F8" s="82">
        <v>847</v>
      </c>
      <c r="G8" s="436">
        <v>2000</v>
      </c>
      <c r="H8" s="103">
        <v>2500</v>
      </c>
      <c r="I8" s="96">
        <f t="shared" si="0"/>
        <v>2</v>
      </c>
      <c r="J8" s="96">
        <f t="shared" si="1"/>
        <v>2.5</v>
      </c>
      <c r="K8" s="96">
        <f t="shared" ref="K8:K28" si="2">IFERROR(H8/G8,"n/a")</f>
        <v>1.25</v>
      </c>
      <c r="L8" s="510" t="s">
        <v>277</v>
      </c>
    </row>
    <row r="9" spans="2:12" x14ac:dyDescent="0.3">
      <c r="B9" s="14">
        <v>4020</v>
      </c>
      <c r="C9" s="49" t="s">
        <v>49</v>
      </c>
      <c r="D9" s="16">
        <v>190</v>
      </c>
      <c r="E9" s="82">
        <v>500</v>
      </c>
      <c r="F9" s="82">
        <v>250</v>
      </c>
      <c r="G9" s="436">
        <v>400</v>
      </c>
      <c r="H9" s="103">
        <v>500</v>
      </c>
      <c r="I9" s="96">
        <f t="shared" si="0"/>
        <v>0.8</v>
      </c>
      <c r="J9" s="96">
        <f t="shared" si="1"/>
        <v>1</v>
      </c>
      <c r="K9" s="96">
        <f t="shared" si="2"/>
        <v>1.25</v>
      </c>
      <c r="L9" s="502" t="s">
        <v>210</v>
      </c>
    </row>
    <row r="10" spans="2:12" s="142" customFormat="1" x14ac:dyDescent="0.3">
      <c r="B10" s="141">
        <v>4030</v>
      </c>
      <c r="C10" s="136" t="s">
        <v>50</v>
      </c>
      <c r="D10" s="137">
        <v>80</v>
      </c>
      <c r="E10" s="82">
        <v>0</v>
      </c>
      <c r="F10" s="82">
        <v>0</v>
      </c>
      <c r="G10" s="436">
        <v>0</v>
      </c>
      <c r="H10" s="103">
        <v>0</v>
      </c>
      <c r="I10" s="140" t="str">
        <f t="shared" si="0"/>
        <v>n/a</v>
      </c>
      <c r="J10" s="140" t="str">
        <f t="shared" si="1"/>
        <v>n/a</v>
      </c>
      <c r="K10" s="140" t="str">
        <f t="shared" si="2"/>
        <v>n/a</v>
      </c>
      <c r="L10" s="528" t="s">
        <v>212</v>
      </c>
    </row>
    <row r="11" spans="2:12" x14ac:dyDescent="0.3">
      <c r="B11" s="14">
        <v>4050</v>
      </c>
      <c r="C11" s="49" t="s">
        <v>51</v>
      </c>
      <c r="D11" s="16">
        <v>2050</v>
      </c>
      <c r="E11" s="82">
        <v>1187</v>
      </c>
      <c r="F11" s="82">
        <v>-20</v>
      </c>
      <c r="G11" s="436">
        <v>1130</v>
      </c>
      <c r="H11" s="103">
        <v>1150</v>
      </c>
      <c r="I11" s="96">
        <f t="shared" si="0"/>
        <v>0.95197978096040436</v>
      </c>
      <c r="J11" s="96">
        <f t="shared" si="1"/>
        <v>0.96882898062342038</v>
      </c>
      <c r="K11" s="96">
        <f t="shared" si="2"/>
        <v>1.0176991150442478</v>
      </c>
      <c r="L11" s="510" t="s">
        <v>249</v>
      </c>
    </row>
    <row r="12" spans="2:12" ht="40.200000000000003" x14ac:dyDescent="0.3">
      <c r="B12" s="14">
        <v>4051</v>
      </c>
      <c r="C12" s="49" t="s">
        <v>52</v>
      </c>
      <c r="D12" s="16">
        <v>5240</v>
      </c>
      <c r="E12" s="82">
        <v>4515</v>
      </c>
      <c r="F12" s="82">
        <v>1760</v>
      </c>
      <c r="G12" s="436">
        <v>4000</v>
      </c>
      <c r="H12" s="103">
        <v>5686</v>
      </c>
      <c r="I12" s="96">
        <f t="shared" si="0"/>
        <v>0.88593576965669985</v>
      </c>
      <c r="J12" s="96">
        <f t="shared" si="1"/>
        <v>1.2593576965669988</v>
      </c>
      <c r="K12" s="96">
        <f t="shared" si="2"/>
        <v>1.4215</v>
      </c>
      <c r="L12" s="510" t="s">
        <v>224</v>
      </c>
    </row>
    <row r="13" spans="2:12" x14ac:dyDescent="0.3">
      <c r="B13" s="14">
        <v>4052</v>
      </c>
      <c r="C13" s="49" t="s">
        <v>53</v>
      </c>
      <c r="D13" s="16">
        <v>1149</v>
      </c>
      <c r="E13" s="82">
        <v>1229</v>
      </c>
      <c r="F13" s="82">
        <v>1398</v>
      </c>
      <c r="G13" s="436">
        <v>1398</v>
      </c>
      <c r="H13" s="103">
        <v>1467.9</v>
      </c>
      <c r="I13" s="96">
        <f t="shared" si="0"/>
        <v>1.1375101708706266</v>
      </c>
      <c r="J13" s="96">
        <f t="shared" si="1"/>
        <v>1.1943856794141579</v>
      </c>
      <c r="K13" s="96">
        <f t="shared" si="2"/>
        <v>1.05</v>
      </c>
      <c r="L13" s="510" t="s">
        <v>226</v>
      </c>
    </row>
    <row r="14" spans="2:12" ht="27" x14ac:dyDescent="0.3">
      <c r="B14" s="14">
        <v>4053</v>
      </c>
      <c r="C14" s="49" t="s">
        <v>54</v>
      </c>
      <c r="D14" s="16">
        <v>1720</v>
      </c>
      <c r="E14" s="82">
        <v>1754</v>
      </c>
      <c r="F14" s="82">
        <v>1698</v>
      </c>
      <c r="G14" s="436">
        <v>1782</v>
      </c>
      <c r="H14" s="103">
        <v>1817</v>
      </c>
      <c r="I14" s="96">
        <f t="shared" si="0"/>
        <v>1.015963511972634</v>
      </c>
      <c r="J14" s="96">
        <f t="shared" si="1"/>
        <v>1.0359179019384264</v>
      </c>
      <c r="K14" s="96">
        <f t="shared" si="2"/>
        <v>1.0196408529741863</v>
      </c>
      <c r="L14" s="510" t="s">
        <v>225</v>
      </c>
    </row>
    <row r="15" spans="2:12" ht="27" x14ac:dyDescent="0.3">
      <c r="B15" s="14">
        <v>4054</v>
      </c>
      <c r="C15" s="49" t="s">
        <v>55</v>
      </c>
      <c r="D15" s="16">
        <v>1144</v>
      </c>
      <c r="E15" s="82">
        <v>1597</v>
      </c>
      <c r="F15" s="82">
        <v>412</v>
      </c>
      <c r="G15" s="436">
        <v>1597</v>
      </c>
      <c r="H15" s="103">
        <v>1736</v>
      </c>
      <c r="I15" s="96">
        <f t="shared" si="0"/>
        <v>1</v>
      </c>
      <c r="J15" s="96">
        <f t="shared" si="1"/>
        <v>1.08703819661866</v>
      </c>
      <c r="K15" s="96">
        <f t="shared" si="2"/>
        <v>1.08703819661866</v>
      </c>
      <c r="L15" s="510" t="s">
        <v>227</v>
      </c>
    </row>
    <row r="16" spans="2:12" ht="27" x14ac:dyDescent="0.3">
      <c r="B16" s="14">
        <v>4055</v>
      </c>
      <c r="C16" s="49" t="s">
        <v>56</v>
      </c>
      <c r="D16" s="16">
        <v>4753</v>
      </c>
      <c r="E16" s="82">
        <v>5050</v>
      </c>
      <c r="F16" s="82">
        <v>2370</v>
      </c>
      <c r="G16" s="436">
        <v>4740</v>
      </c>
      <c r="H16" s="103">
        <v>5070</v>
      </c>
      <c r="I16" s="96">
        <f t="shared" si="0"/>
        <v>0.93861386138613856</v>
      </c>
      <c r="J16" s="96">
        <f t="shared" si="1"/>
        <v>1.003960396039604</v>
      </c>
      <c r="K16" s="96">
        <f t="shared" si="2"/>
        <v>1.0696202531645569</v>
      </c>
      <c r="L16" s="510" t="s">
        <v>250</v>
      </c>
    </row>
    <row r="17" spans="2:12" ht="27" x14ac:dyDescent="0.3">
      <c r="B17" s="14">
        <v>4057</v>
      </c>
      <c r="C17" s="49" t="s">
        <v>57</v>
      </c>
      <c r="D17" s="16">
        <v>171</v>
      </c>
      <c r="E17" s="82">
        <v>252</v>
      </c>
      <c r="F17" s="82">
        <v>90</v>
      </c>
      <c r="G17" s="436">
        <v>180</v>
      </c>
      <c r="H17" s="103">
        <v>252</v>
      </c>
      <c r="I17" s="96">
        <f t="shared" si="0"/>
        <v>0.7142857142857143</v>
      </c>
      <c r="J17" s="96">
        <f t="shared" si="1"/>
        <v>1</v>
      </c>
      <c r="K17" s="96">
        <f t="shared" si="2"/>
        <v>1.4</v>
      </c>
      <c r="L17" s="510" t="s">
        <v>211</v>
      </c>
    </row>
    <row r="18" spans="2:12" x14ac:dyDescent="0.3">
      <c r="B18" s="14">
        <v>4058</v>
      </c>
      <c r="C18" s="49" t="s">
        <v>58</v>
      </c>
      <c r="D18" s="16">
        <v>25</v>
      </c>
      <c r="E18" s="82">
        <v>135</v>
      </c>
      <c r="F18" s="82">
        <v>0</v>
      </c>
      <c r="G18" s="436">
        <v>135</v>
      </c>
      <c r="H18" s="103">
        <v>135</v>
      </c>
      <c r="I18" s="96">
        <f t="shared" si="0"/>
        <v>1</v>
      </c>
      <c r="J18" s="96">
        <f t="shared" si="1"/>
        <v>1</v>
      </c>
      <c r="K18" s="96">
        <f t="shared" si="2"/>
        <v>1</v>
      </c>
      <c r="L18" s="510" t="s">
        <v>133</v>
      </c>
    </row>
    <row r="19" spans="2:12" s="175" customFormat="1" ht="21" customHeight="1" x14ac:dyDescent="0.3">
      <c r="B19" s="141">
        <v>4059</v>
      </c>
      <c r="C19" s="136" t="s">
        <v>89</v>
      </c>
      <c r="D19" s="137">
        <v>490</v>
      </c>
      <c r="E19" s="138">
        <v>0</v>
      </c>
      <c r="F19" s="138">
        <v>0</v>
      </c>
      <c r="G19" s="139">
        <v>0</v>
      </c>
      <c r="H19" s="139">
        <v>0</v>
      </c>
      <c r="I19" s="140" t="str">
        <f t="shared" si="0"/>
        <v>n/a</v>
      </c>
      <c r="J19" s="140" t="str">
        <f t="shared" si="1"/>
        <v>n/a</v>
      </c>
      <c r="K19" s="140" t="str">
        <f t="shared" si="2"/>
        <v>n/a</v>
      </c>
      <c r="L19" s="513"/>
    </row>
    <row r="20" spans="2:12" ht="39" customHeight="1" x14ac:dyDescent="0.3">
      <c r="B20" s="14">
        <v>4060</v>
      </c>
      <c r="C20" s="49" t="s">
        <v>59</v>
      </c>
      <c r="D20" s="16">
        <v>1018</v>
      </c>
      <c r="E20" s="82">
        <v>1153</v>
      </c>
      <c r="F20" s="82">
        <v>191</v>
      </c>
      <c r="G20" s="436">
        <v>1153</v>
      </c>
      <c r="H20" s="103">
        <v>1244</v>
      </c>
      <c r="I20" s="96">
        <f t="shared" si="0"/>
        <v>1</v>
      </c>
      <c r="J20" s="96">
        <f t="shared" si="1"/>
        <v>1.0789245446660884</v>
      </c>
      <c r="K20" s="96">
        <f t="shared" si="2"/>
        <v>1.0789245446660884</v>
      </c>
      <c r="L20" s="510" t="s">
        <v>251</v>
      </c>
    </row>
    <row r="21" spans="2:12" x14ac:dyDescent="0.3">
      <c r="B21" s="14">
        <v>4062</v>
      </c>
      <c r="C21" s="49" t="s">
        <v>156</v>
      </c>
      <c r="D21" s="16">
        <v>3185</v>
      </c>
      <c r="E21" s="82">
        <v>0</v>
      </c>
      <c r="F21" s="82">
        <v>904</v>
      </c>
      <c r="G21" s="436">
        <v>904</v>
      </c>
      <c r="H21" s="103">
        <v>0</v>
      </c>
      <c r="I21" s="96" t="str">
        <f t="shared" si="0"/>
        <v>n/a</v>
      </c>
      <c r="J21" s="96" t="str">
        <f t="shared" si="1"/>
        <v>n/a</v>
      </c>
      <c r="K21" s="96">
        <f t="shared" si="2"/>
        <v>0</v>
      </c>
      <c r="L21" s="513"/>
    </row>
    <row r="22" spans="2:12" x14ac:dyDescent="0.3">
      <c r="B22" s="14">
        <v>4452</v>
      </c>
      <c r="C22" s="49" t="s">
        <v>60</v>
      </c>
      <c r="D22" s="16">
        <v>280</v>
      </c>
      <c r="E22" s="82">
        <v>276</v>
      </c>
      <c r="F22" s="82">
        <v>0</v>
      </c>
      <c r="G22" s="436">
        <v>280</v>
      </c>
      <c r="H22" s="103">
        <v>294</v>
      </c>
      <c r="I22" s="96">
        <f t="shared" si="0"/>
        <v>1.0144927536231885</v>
      </c>
      <c r="J22" s="96">
        <f t="shared" si="1"/>
        <v>1.0652173913043479</v>
      </c>
      <c r="K22" s="96">
        <f t="shared" ref="K22:K23" si="3">IFERROR(H22/G22,"n/a")</f>
        <v>1.05</v>
      </c>
      <c r="L22" s="510" t="s">
        <v>252</v>
      </c>
    </row>
    <row r="23" spans="2:12" ht="40.200000000000003" x14ac:dyDescent="0.3">
      <c r="B23" s="14">
        <v>4453</v>
      </c>
      <c r="C23" s="49" t="s">
        <v>170</v>
      </c>
      <c r="D23" s="16">
        <v>0</v>
      </c>
      <c r="E23" s="82">
        <v>500</v>
      </c>
      <c r="F23" s="82">
        <v>0</v>
      </c>
      <c r="G23" s="436">
        <v>500</v>
      </c>
      <c r="H23" s="103">
        <v>500</v>
      </c>
      <c r="I23" s="96">
        <f t="shared" si="0"/>
        <v>1</v>
      </c>
      <c r="J23" s="96">
        <f t="shared" si="1"/>
        <v>1</v>
      </c>
      <c r="K23" s="96">
        <f t="shared" si="3"/>
        <v>1</v>
      </c>
      <c r="L23" s="510" t="s">
        <v>253</v>
      </c>
    </row>
    <row r="24" spans="2:12" x14ac:dyDescent="0.3">
      <c r="B24" s="141">
        <v>4721</v>
      </c>
      <c r="C24" s="136" t="s">
        <v>187</v>
      </c>
      <c r="D24" s="137">
        <v>275</v>
      </c>
      <c r="E24" s="138"/>
      <c r="F24" s="138"/>
      <c r="G24" s="139"/>
      <c r="H24" s="139"/>
      <c r="I24" s="140"/>
      <c r="J24" s="140"/>
      <c r="K24" s="140"/>
      <c r="L24" s="513" t="s">
        <v>212</v>
      </c>
    </row>
    <row r="25" spans="2:12" x14ac:dyDescent="0.3">
      <c r="B25" s="141">
        <v>4930</v>
      </c>
      <c r="C25" s="136" t="s">
        <v>188</v>
      </c>
      <c r="D25" s="137">
        <v>3890</v>
      </c>
      <c r="E25" s="138"/>
      <c r="F25" s="138"/>
      <c r="G25" s="139"/>
      <c r="H25" s="139"/>
      <c r="I25" s="140"/>
      <c r="J25" s="140"/>
      <c r="K25" s="140"/>
      <c r="L25" s="513" t="s">
        <v>212</v>
      </c>
    </row>
    <row r="26" spans="2:12" x14ac:dyDescent="0.3">
      <c r="B26" s="14" t="s">
        <v>173</v>
      </c>
      <c r="C26" s="49" t="s">
        <v>290</v>
      </c>
      <c r="D26" s="16">
        <v>0</v>
      </c>
      <c r="E26" s="82">
        <v>0</v>
      </c>
      <c r="F26" s="82">
        <v>0</v>
      </c>
      <c r="G26" s="436">
        <v>0</v>
      </c>
      <c r="H26" s="103">
        <v>15000</v>
      </c>
      <c r="I26" s="96" t="str">
        <f t="shared" ref="I26" si="4">IFERROR(G26/E26,"n/a")</f>
        <v>n/a</v>
      </c>
      <c r="J26" s="96" t="str">
        <f t="shared" ref="J26" si="5">IFERROR(H26/E26,"n/a")</f>
        <v>n/a</v>
      </c>
      <c r="K26" s="96" t="str">
        <f t="shared" ref="K26" si="6">IFERROR(H26/G26,"n/a")</f>
        <v>n/a</v>
      </c>
      <c r="L26" s="510" t="s">
        <v>292</v>
      </c>
    </row>
    <row r="27" spans="2:12" x14ac:dyDescent="0.3">
      <c r="B27" s="14"/>
      <c r="C27" s="49"/>
      <c r="D27" s="16"/>
      <c r="E27" s="82"/>
      <c r="F27" s="82"/>
      <c r="G27" s="119"/>
      <c r="H27" s="118"/>
      <c r="I27" s="96"/>
      <c r="J27" s="96"/>
      <c r="K27" s="96"/>
      <c r="L27" s="527"/>
    </row>
    <row r="28" spans="2:12" ht="24" customHeight="1" x14ac:dyDescent="0.3">
      <c r="B28" s="20"/>
      <c r="C28" s="54" t="s">
        <v>5</v>
      </c>
      <c r="D28" s="4">
        <f>SUM(D6:D27)</f>
        <v>101808</v>
      </c>
      <c r="E28" s="4">
        <f>SUM(E6:E27)</f>
        <v>99013</v>
      </c>
      <c r="F28" s="4">
        <f>SUM(F6:F27)</f>
        <v>46093</v>
      </c>
      <c r="G28" s="440">
        <f>SUM(G6:G27)</f>
        <v>96273</v>
      </c>
      <c r="H28" s="402">
        <f>SUM(H6:H27)</f>
        <v>119353.9</v>
      </c>
      <c r="I28" s="97">
        <f>IFERROR(G28/E28,"n/a")</f>
        <v>0.97232686616908892</v>
      </c>
      <c r="J28" s="97">
        <f>IFERROR(H28/E28,"n/a")</f>
        <v>1.2054366598325472</v>
      </c>
      <c r="K28" s="97">
        <f t="shared" si="2"/>
        <v>1.2397442689019766</v>
      </c>
      <c r="L28" s="465"/>
    </row>
    <row r="29" spans="2:12" x14ac:dyDescent="0.3">
      <c r="B29" s="14"/>
      <c r="C29" s="49"/>
      <c r="D29" s="16"/>
      <c r="E29" s="82"/>
      <c r="F29" s="82"/>
      <c r="G29" s="119"/>
      <c r="H29" s="118"/>
      <c r="I29" s="82"/>
      <c r="J29" s="96"/>
      <c r="K29" s="96"/>
      <c r="L29" s="379"/>
    </row>
    <row r="30" spans="2:12" ht="27" x14ac:dyDescent="0.3">
      <c r="B30" s="14">
        <v>4400</v>
      </c>
      <c r="C30" s="49" t="s">
        <v>61</v>
      </c>
      <c r="D30" s="16">
        <v>13849</v>
      </c>
      <c r="E30" s="82">
        <v>15082</v>
      </c>
      <c r="F30" s="82">
        <v>0</v>
      </c>
      <c r="G30" s="436">
        <v>15082</v>
      </c>
      <c r="H30" s="103">
        <v>15489</v>
      </c>
      <c r="I30" s="96">
        <f>IFERROR(G30/E30,"n/a")</f>
        <v>1</v>
      </c>
      <c r="J30" s="96">
        <f>IFERROR(H30/E30,"n/a")</f>
        <v>1.0269858109004111</v>
      </c>
      <c r="K30" s="96">
        <f>IFERROR(H30/G30,"n/a")</f>
        <v>1.0269858109004111</v>
      </c>
      <c r="L30" s="510" t="s">
        <v>291</v>
      </c>
    </row>
    <row r="31" spans="2:12" ht="27" x14ac:dyDescent="0.3">
      <c r="B31" s="31">
        <v>4448</v>
      </c>
      <c r="C31" s="49" t="s">
        <v>62</v>
      </c>
      <c r="D31" s="16">
        <v>3731</v>
      </c>
      <c r="E31" s="82">
        <v>7000</v>
      </c>
      <c r="F31" s="82">
        <v>0</v>
      </c>
      <c r="G31" s="436">
        <v>7000</v>
      </c>
      <c r="H31" s="103">
        <v>3000</v>
      </c>
      <c r="I31" s="96">
        <f>IFERROR(G31/E31,"n/a")</f>
        <v>1</v>
      </c>
      <c r="J31" s="96">
        <f>IFERROR(H31/E31,"n/a")</f>
        <v>0.42857142857142855</v>
      </c>
      <c r="K31" s="96">
        <f>IFERROR(H31/G31,"n/a")</f>
        <v>0.42857142857142855</v>
      </c>
      <c r="L31" s="510" t="s">
        <v>254</v>
      </c>
    </row>
    <row r="32" spans="2:12" x14ac:dyDescent="0.3">
      <c r="B32" s="14"/>
      <c r="C32" s="49"/>
      <c r="D32" s="16"/>
      <c r="E32" s="82"/>
      <c r="F32" s="82"/>
      <c r="G32" s="119"/>
      <c r="H32" s="118"/>
      <c r="I32" s="96"/>
      <c r="J32" s="96"/>
      <c r="K32" s="96"/>
      <c r="L32" s="513"/>
    </row>
    <row r="33" spans="2:12" ht="22.2" customHeight="1" x14ac:dyDescent="0.3">
      <c r="B33" s="64"/>
      <c r="C33" s="65" t="s">
        <v>6</v>
      </c>
      <c r="D33" s="66">
        <f>SUM(D30:D32)</f>
        <v>17580</v>
      </c>
      <c r="E33" s="66">
        <f>SUM(E30:E32)</f>
        <v>22082</v>
      </c>
      <c r="F33" s="66">
        <f>SUM(F30:F32)</f>
        <v>0</v>
      </c>
      <c r="G33" s="441">
        <f>SUM(G30:G32)</f>
        <v>22082</v>
      </c>
      <c r="H33" s="130">
        <f>SUM(H30:H32)</f>
        <v>18489</v>
      </c>
      <c r="I33" s="98">
        <f>IFERROR(G33/E33,"n/a")</f>
        <v>1</v>
      </c>
      <c r="J33" s="98">
        <f>IFERROR(H33/E33,"n/a")</f>
        <v>0.8372882891042478</v>
      </c>
      <c r="K33" s="98">
        <f>IFERROR(H33/G33,"n/a")</f>
        <v>0.8372882891042478</v>
      </c>
      <c r="L33" s="468"/>
    </row>
    <row r="34" spans="2:12" x14ac:dyDescent="0.3">
      <c r="B34" s="281"/>
      <c r="C34" s="282"/>
      <c r="D34" s="16"/>
      <c r="E34" s="82"/>
      <c r="F34" s="82"/>
      <c r="G34" s="436"/>
      <c r="H34" s="118"/>
      <c r="I34" s="96"/>
      <c r="J34" s="96"/>
      <c r="K34" s="96"/>
      <c r="L34" s="379"/>
    </row>
    <row r="35" spans="2:12" ht="27" x14ac:dyDescent="0.3">
      <c r="B35" s="281">
        <v>4030</v>
      </c>
      <c r="C35" s="49" t="s">
        <v>93</v>
      </c>
      <c r="D35" s="16"/>
      <c r="E35" s="82">
        <v>0</v>
      </c>
      <c r="F35" s="82">
        <v>0</v>
      </c>
      <c r="G35" s="436">
        <v>0</v>
      </c>
      <c r="H35" s="103">
        <v>0</v>
      </c>
      <c r="I35" s="96" t="str">
        <f>IFERROR(G35/E35,"n/a")</f>
        <v>n/a</v>
      </c>
      <c r="J35" s="96" t="str">
        <f>IFERROR(H35/E35,"n/a")</f>
        <v>n/a</v>
      </c>
      <c r="K35" s="96" t="str">
        <f>IFERROR(H35/G35,"n/a")</f>
        <v>n/a</v>
      </c>
      <c r="L35" s="510" t="s">
        <v>255</v>
      </c>
    </row>
    <row r="36" spans="2:12" x14ac:dyDescent="0.3">
      <c r="B36" s="281"/>
      <c r="C36" s="49"/>
      <c r="D36" s="16"/>
      <c r="E36" s="82"/>
      <c r="F36" s="82"/>
      <c r="G36" s="436">
        <v>0</v>
      </c>
      <c r="H36" s="103">
        <v>0</v>
      </c>
      <c r="I36" s="96"/>
      <c r="J36" s="96"/>
      <c r="K36" s="96"/>
      <c r="L36" s="379"/>
    </row>
    <row r="37" spans="2:12" ht="27" x14ac:dyDescent="0.3">
      <c r="B37" s="281">
        <v>4477</v>
      </c>
      <c r="C37" s="49" t="s">
        <v>120</v>
      </c>
      <c r="D37" s="16">
        <v>7860</v>
      </c>
      <c r="E37" s="82">
        <v>0</v>
      </c>
      <c r="F37" s="82">
        <v>740</v>
      </c>
      <c r="G37" s="436">
        <v>4987</v>
      </c>
      <c r="H37" s="103">
        <v>10000</v>
      </c>
      <c r="I37" s="96" t="str">
        <f>IFERROR(G37/E37,"n/a")</f>
        <v>n/a</v>
      </c>
      <c r="J37" s="96" t="str">
        <f>IFERROR(H37/E37,"n/a")</f>
        <v>n/a</v>
      </c>
      <c r="K37" s="96">
        <f>IFERROR(H37/G37,"n/a")</f>
        <v>2.0052135552436336</v>
      </c>
      <c r="L37" s="510" t="s">
        <v>134</v>
      </c>
    </row>
    <row r="38" spans="2:12" x14ac:dyDescent="0.3">
      <c r="B38" s="281"/>
      <c r="C38" s="49"/>
      <c r="D38" s="16"/>
      <c r="E38" s="82"/>
      <c r="F38" s="82"/>
      <c r="G38" s="436"/>
      <c r="H38" s="103">
        <v>0</v>
      </c>
      <c r="I38" s="96"/>
      <c r="J38" s="96"/>
      <c r="K38" s="96"/>
      <c r="L38" s="379"/>
    </row>
    <row r="39" spans="2:12" ht="27" x14ac:dyDescent="0.3">
      <c r="B39" s="281">
        <v>4721</v>
      </c>
      <c r="C39" s="49" t="s">
        <v>115</v>
      </c>
      <c r="D39" s="16">
        <v>2166</v>
      </c>
      <c r="E39" s="82">
        <v>0</v>
      </c>
      <c r="F39" s="82">
        <v>1100</v>
      </c>
      <c r="G39" s="436">
        <v>2425</v>
      </c>
      <c r="H39" s="103">
        <v>25000</v>
      </c>
      <c r="I39" s="96" t="str">
        <f>IFERROR(G39/E39,"n/a")</f>
        <v>n/a</v>
      </c>
      <c r="J39" s="96" t="str">
        <f>IFERROR(H39/E39,"n/a")</f>
        <v>n/a</v>
      </c>
      <c r="K39" s="96">
        <f>IFERROR(H39/G39,"n/a")</f>
        <v>10.309278350515465</v>
      </c>
      <c r="L39" s="510" t="s">
        <v>276</v>
      </c>
    </row>
    <row r="40" spans="2:12" x14ac:dyDescent="0.3">
      <c r="B40" s="281"/>
      <c r="C40" s="49"/>
      <c r="D40" s="16"/>
      <c r="E40" s="82"/>
      <c r="F40" s="82"/>
      <c r="G40" s="436"/>
      <c r="H40" s="103"/>
      <c r="I40" s="96"/>
      <c r="J40" s="96"/>
      <c r="K40" s="96"/>
      <c r="L40" s="379"/>
    </row>
    <row r="41" spans="2:12" x14ac:dyDescent="0.3">
      <c r="B41" s="281"/>
      <c r="C41" s="49"/>
      <c r="D41" s="16"/>
      <c r="E41" s="82"/>
      <c r="F41" s="82"/>
      <c r="G41" s="436"/>
      <c r="H41" s="103"/>
      <c r="I41" s="96"/>
      <c r="J41" s="96"/>
      <c r="K41" s="96"/>
      <c r="L41" s="379"/>
    </row>
    <row r="42" spans="2:12" x14ac:dyDescent="0.3">
      <c r="B42" s="141">
        <v>4062</v>
      </c>
      <c r="C42" s="136" t="s">
        <v>135</v>
      </c>
      <c r="D42" s="137">
        <v>3477</v>
      </c>
      <c r="E42" s="138">
        <v>0</v>
      </c>
      <c r="F42" s="138">
        <v>0</v>
      </c>
      <c r="G42" s="139">
        <v>0</v>
      </c>
      <c r="H42" s="139">
        <v>0</v>
      </c>
      <c r="I42" s="140" t="str">
        <f>IFERROR(G42/E42,"n/a")</f>
        <v>n/a</v>
      </c>
      <c r="J42" s="140" t="str">
        <f>IFERROR(H42/E42,"n/a")</f>
        <v>n/a</v>
      </c>
      <c r="K42" s="140" t="str">
        <f>IFERROR(H42/G42,"n/a")</f>
        <v>n/a</v>
      </c>
      <c r="L42" s="508" t="s">
        <v>163</v>
      </c>
    </row>
    <row r="43" spans="2:12" x14ac:dyDescent="0.3">
      <c r="B43" s="281"/>
      <c r="C43" s="49"/>
      <c r="D43" s="16"/>
      <c r="E43" s="82"/>
      <c r="F43" s="82"/>
      <c r="G43" s="436"/>
      <c r="H43" s="118"/>
      <c r="I43" s="96"/>
      <c r="J43" s="96"/>
      <c r="K43" s="96"/>
      <c r="L43" s="379"/>
    </row>
    <row r="44" spans="2:12" s="175" customFormat="1" x14ac:dyDescent="0.3">
      <c r="B44" s="281" t="s">
        <v>173</v>
      </c>
      <c r="C44" s="49" t="s">
        <v>196</v>
      </c>
      <c r="D44" s="16">
        <v>0</v>
      </c>
      <c r="E44" s="283">
        <v>0</v>
      </c>
      <c r="F44" s="283">
        <v>0</v>
      </c>
      <c r="G44" s="436">
        <v>0</v>
      </c>
      <c r="H44" s="385">
        <v>0</v>
      </c>
      <c r="I44" s="96" t="str">
        <f>IFERROR(G44/E44,"n/a")</f>
        <v>n/a</v>
      </c>
      <c r="J44" s="96" t="str">
        <f>IFERROR(H44/E44,"n/a")</f>
        <v>n/a</v>
      </c>
      <c r="K44" s="96" t="str">
        <f>IFERROR(H44/G44,"n/a")</f>
        <v>n/a</v>
      </c>
      <c r="L44" s="510" t="s">
        <v>229</v>
      </c>
    </row>
    <row r="45" spans="2:12" s="175" customFormat="1" x14ac:dyDescent="0.3">
      <c r="B45" s="281"/>
      <c r="C45" s="49"/>
      <c r="D45" s="16"/>
      <c r="E45" s="283"/>
      <c r="F45" s="283"/>
      <c r="G45" s="436"/>
      <c r="H45" s="376"/>
      <c r="I45" s="96"/>
      <c r="J45" s="96"/>
      <c r="K45" s="96"/>
      <c r="L45" s="378"/>
    </row>
    <row r="46" spans="2:12" ht="40.200000000000003" x14ac:dyDescent="0.3">
      <c r="B46" s="281">
        <v>4930</v>
      </c>
      <c r="C46" s="49" t="s">
        <v>94</v>
      </c>
      <c r="D46" s="16">
        <v>17147</v>
      </c>
      <c r="E46" s="82">
        <v>0</v>
      </c>
      <c r="F46" s="82">
        <v>0</v>
      </c>
      <c r="G46" s="436">
        <f>CIL!J14+CIL!L14-CIL!L6</f>
        <v>40000</v>
      </c>
      <c r="H46" s="118">
        <f>CIL!J23</f>
        <v>272000</v>
      </c>
      <c r="I46" s="96" t="str">
        <f>IFERROR(G46/E46,"n/a")</f>
        <v>n/a</v>
      </c>
      <c r="J46" s="96" t="str">
        <f>IFERROR(H46/E46,"n/a")</f>
        <v>n/a</v>
      </c>
      <c r="K46" s="96">
        <f>IFERROR(H46/G46,"n/a")</f>
        <v>6.8</v>
      </c>
      <c r="L46" s="510" t="s">
        <v>295</v>
      </c>
    </row>
    <row r="47" spans="2:12" x14ac:dyDescent="0.3">
      <c r="B47" s="281"/>
      <c r="C47" s="52"/>
      <c r="D47" s="16"/>
      <c r="E47" s="82"/>
      <c r="F47" s="82"/>
      <c r="G47" s="436"/>
      <c r="H47" s="373"/>
      <c r="I47" s="96"/>
      <c r="J47" s="96"/>
      <c r="K47" s="96"/>
      <c r="L47" s="374"/>
    </row>
    <row r="48" spans="2:12" x14ac:dyDescent="0.3">
      <c r="B48" s="284"/>
      <c r="C48" s="285" t="s">
        <v>95</v>
      </c>
      <c r="D48" s="286">
        <f>SUM(D35:D47)</f>
        <v>30650</v>
      </c>
      <c r="E48" s="278">
        <f>SUM(E35:E47)</f>
        <v>0</v>
      </c>
      <c r="F48" s="278">
        <f>SUM(F35:F47)</f>
        <v>1840</v>
      </c>
      <c r="G48" s="437">
        <f>SUM(G35:G47)</f>
        <v>47412</v>
      </c>
      <c r="H48" s="405">
        <f>SUM(H35:H47)</f>
        <v>307000</v>
      </c>
      <c r="I48" s="287" t="str">
        <f>IFERROR(G48/E48,"n/a")</f>
        <v>n/a</v>
      </c>
      <c r="J48" s="287" t="str">
        <f>IFERROR(H48/E48,"n/a")</f>
        <v>n/a</v>
      </c>
      <c r="K48" s="287">
        <f>IFERROR(H48/G48,"n/a")</f>
        <v>6.4751539694592086</v>
      </c>
      <c r="L48" s="377"/>
    </row>
    <row r="49" spans="2:12" x14ac:dyDescent="0.3">
      <c r="B49" s="241"/>
      <c r="C49" s="240"/>
      <c r="D49" s="176"/>
      <c r="E49" s="233"/>
      <c r="F49" s="233"/>
      <c r="G49" s="436"/>
      <c r="H49" s="118"/>
      <c r="I49" s="177"/>
      <c r="J49" s="242"/>
      <c r="K49" s="242"/>
      <c r="L49" s="379"/>
    </row>
    <row r="50" spans="2:12" ht="22.95" customHeight="1" thickBot="1" x14ac:dyDescent="0.35">
      <c r="B50" s="288"/>
      <c r="C50" s="58" t="s">
        <v>63</v>
      </c>
      <c r="D50" s="18">
        <f>+D28+D33+D48</f>
        <v>150038</v>
      </c>
      <c r="E50" s="18">
        <f>+E28+E33+E48</f>
        <v>121095</v>
      </c>
      <c r="F50" s="18">
        <f>+F28+F33+F48</f>
        <v>47933</v>
      </c>
      <c r="G50" s="438">
        <f>+G28+G33+G48</f>
        <v>165767</v>
      </c>
      <c r="H50" s="406">
        <f>+H28+H33+H48</f>
        <v>444842.9</v>
      </c>
      <c r="I50" s="131">
        <f>IFERROR(G50/E50,"n/a")</f>
        <v>1.3689004500598703</v>
      </c>
      <c r="J50" s="131">
        <f>IFERROR(H50/E50,"n/a")</f>
        <v>3.6735034477063464</v>
      </c>
      <c r="K50" s="131">
        <f>IFERROR(H50/G50,"n/a")</f>
        <v>2.6835431660101228</v>
      </c>
      <c r="L50" s="375"/>
    </row>
    <row r="51" spans="2:12" x14ac:dyDescent="0.3">
      <c r="H51" s="289"/>
    </row>
    <row r="52" spans="2:12" x14ac:dyDescent="0.3">
      <c r="H52" s="303"/>
    </row>
  </sheetData>
  <phoneticPr fontId="13" type="noConversion"/>
  <pageMargins left="0.75000000000000011" right="0.75000000000000011" top="1" bottom="1" header="0.5" footer="0.5"/>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28"/>
  <sheetViews>
    <sheetView topLeftCell="F1" workbookViewId="0">
      <selection activeCell="L10" sqref="L10"/>
    </sheetView>
  </sheetViews>
  <sheetFormatPr defaultColWidth="11.19921875" defaultRowHeight="15.6" x14ac:dyDescent="0.3"/>
  <cols>
    <col min="1" max="1" width="4.5" customWidth="1"/>
    <col min="2" max="2" width="10.69921875" customWidth="1"/>
    <col min="3" max="3" width="35" customWidth="1"/>
    <col min="4" max="11" width="13.5" customWidth="1"/>
    <col min="12" max="12" width="61.5"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64</v>
      </c>
      <c r="C3" s="330"/>
      <c r="D3" s="330"/>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2"/>
      <c r="C5" s="60"/>
      <c r="D5" s="132"/>
      <c r="E5" s="132"/>
      <c r="F5" s="132"/>
      <c r="G5" s="133"/>
      <c r="H5" s="134"/>
      <c r="I5" s="123"/>
      <c r="J5" s="123"/>
      <c r="K5" s="123"/>
      <c r="L5" s="110"/>
    </row>
    <row r="6" spans="2:12" ht="27" x14ac:dyDescent="0.3">
      <c r="B6" s="26">
        <v>4142</v>
      </c>
      <c r="C6" s="63" t="s">
        <v>65</v>
      </c>
      <c r="D6" s="13">
        <v>525</v>
      </c>
      <c r="E6" s="13">
        <v>2600</v>
      </c>
      <c r="F6" s="13">
        <v>0</v>
      </c>
      <c r="G6" s="122">
        <v>500</v>
      </c>
      <c r="H6" s="403">
        <v>1000</v>
      </c>
      <c r="I6" s="125">
        <f>IFERROR(G6/E6,"n/a")</f>
        <v>0.19230769230769232</v>
      </c>
      <c r="J6" s="125">
        <f>IFERROR(H6/E6,"n/a")</f>
        <v>0.38461538461538464</v>
      </c>
      <c r="K6" s="125">
        <f>IFERROR(H6/G6,"n/a")</f>
        <v>2</v>
      </c>
      <c r="L6" s="510" t="s">
        <v>256</v>
      </c>
    </row>
    <row r="7" spans="2:12" x14ac:dyDescent="0.3">
      <c r="B7" s="12"/>
      <c r="C7" s="63"/>
      <c r="D7" s="1"/>
      <c r="E7" s="1"/>
      <c r="F7" s="1"/>
      <c r="G7" s="119"/>
      <c r="H7" s="103"/>
      <c r="I7" s="123"/>
      <c r="J7" s="123"/>
      <c r="K7" s="123"/>
      <c r="L7" s="508"/>
    </row>
    <row r="8" spans="2:12" x14ac:dyDescent="0.3">
      <c r="B8" s="26">
        <v>4143</v>
      </c>
      <c r="C8" s="63" t="s">
        <v>66</v>
      </c>
      <c r="D8" s="13">
        <v>438</v>
      </c>
      <c r="E8" s="13">
        <v>645</v>
      </c>
      <c r="F8" s="13">
        <v>467</v>
      </c>
      <c r="G8" s="122">
        <v>635</v>
      </c>
      <c r="H8" s="403">
        <v>667</v>
      </c>
      <c r="I8" s="125">
        <f>IFERROR(G8/E8,"n/a")</f>
        <v>0.98449612403100772</v>
      </c>
      <c r="J8" s="125">
        <f>IFERROR(H8/E8,"n/a")</f>
        <v>1.0341085271317829</v>
      </c>
      <c r="K8" s="125">
        <f>IFERROR(H8/G8,"n/a")</f>
        <v>1.0503937007874016</v>
      </c>
      <c r="L8" s="510" t="s">
        <v>257</v>
      </c>
    </row>
    <row r="9" spans="2:12" x14ac:dyDescent="0.3">
      <c r="B9" s="26"/>
      <c r="C9" s="63"/>
      <c r="D9" s="13"/>
      <c r="E9" s="13">
        <v>0</v>
      </c>
      <c r="F9" s="13"/>
      <c r="G9" s="122"/>
      <c r="H9" s="403">
        <v>0</v>
      </c>
      <c r="I9" s="125"/>
      <c r="J9" s="125"/>
      <c r="K9" s="125"/>
      <c r="L9" s="502"/>
    </row>
    <row r="10" spans="2:12" x14ac:dyDescent="0.3">
      <c r="B10" s="26">
        <v>4144</v>
      </c>
      <c r="C10" s="63" t="s">
        <v>67</v>
      </c>
      <c r="D10" s="13">
        <v>1793</v>
      </c>
      <c r="E10" s="13">
        <v>1625</v>
      </c>
      <c r="F10" s="13">
        <v>62</v>
      </c>
      <c r="G10" s="122">
        <v>1369</v>
      </c>
      <c r="H10" s="403">
        <v>2040</v>
      </c>
      <c r="I10" s="125">
        <f>IFERROR(G10/E10,"n/a")</f>
        <v>0.84246153846153848</v>
      </c>
      <c r="J10" s="125">
        <f>IFERROR(H10/E10,"n/a")</f>
        <v>1.2553846153846153</v>
      </c>
      <c r="K10" s="125">
        <f>IFERROR(H10/G10,"n/a")</f>
        <v>1.4901387874360847</v>
      </c>
      <c r="L10" s="510" t="s">
        <v>282</v>
      </c>
    </row>
    <row r="11" spans="2:12" x14ac:dyDescent="0.3">
      <c r="B11" s="26"/>
      <c r="C11" s="63"/>
      <c r="D11" s="13"/>
      <c r="E11" s="13"/>
      <c r="F11" s="13"/>
      <c r="G11" s="122"/>
      <c r="H11" s="403"/>
      <c r="I11" s="125"/>
      <c r="J11" s="125"/>
      <c r="K11" s="125"/>
      <c r="L11" s="502"/>
    </row>
    <row r="12" spans="2:12" x14ac:dyDescent="0.3">
      <c r="B12" s="26">
        <v>4146</v>
      </c>
      <c r="C12" s="63" t="s">
        <v>68</v>
      </c>
      <c r="D12" s="13">
        <v>0</v>
      </c>
      <c r="E12" s="13">
        <v>250</v>
      </c>
      <c r="F12" s="13">
        <v>0</v>
      </c>
      <c r="G12" s="122">
        <v>0</v>
      </c>
      <c r="H12" s="403">
        <v>0</v>
      </c>
      <c r="I12" s="125">
        <f>IFERROR(G12/E12,"n/a")</f>
        <v>0</v>
      </c>
      <c r="J12" s="125">
        <f>IFERROR(H12/E12,"n/a")</f>
        <v>0</v>
      </c>
      <c r="K12" s="125" t="str">
        <f>IFERROR(H12/G12,"n/a")</f>
        <v>n/a</v>
      </c>
      <c r="L12" s="510"/>
    </row>
    <row r="13" spans="2:12" x14ac:dyDescent="0.3">
      <c r="B13" s="26"/>
      <c r="C13" s="48"/>
      <c r="D13" s="13"/>
      <c r="E13" s="13"/>
      <c r="F13" s="13"/>
      <c r="G13" s="122"/>
      <c r="H13" s="104"/>
      <c r="I13" s="125"/>
      <c r="J13" s="125"/>
      <c r="K13" s="125"/>
      <c r="L13" s="510"/>
    </row>
    <row r="14" spans="2:12" x14ac:dyDescent="0.3">
      <c r="B14" s="244">
        <v>4147</v>
      </c>
      <c r="C14" s="48" t="s">
        <v>169</v>
      </c>
      <c r="D14" s="13">
        <v>0</v>
      </c>
      <c r="E14" s="13">
        <v>150</v>
      </c>
      <c r="F14" s="13">
        <v>0</v>
      </c>
      <c r="G14" s="122">
        <v>150</v>
      </c>
      <c r="H14" s="403">
        <v>150</v>
      </c>
      <c r="I14" s="125">
        <f>IFERROR(G14/E14,"n/a")</f>
        <v>1</v>
      </c>
      <c r="J14" s="125">
        <f>IFERROR(H14/E14,"n/a")</f>
        <v>1</v>
      </c>
      <c r="K14" s="125">
        <f>IFERROR(H14/G14,"n/a")</f>
        <v>1</v>
      </c>
      <c r="L14" s="510" t="s">
        <v>258</v>
      </c>
    </row>
    <row r="15" spans="2:12" x14ac:dyDescent="0.3">
      <c r="B15" s="12"/>
      <c r="C15" s="48"/>
      <c r="D15" s="1"/>
      <c r="E15" s="1"/>
      <c r="F15" s="1"/>
      <c r="G15" s="119"/>
      <c r="H15" s="103"/>
      <c r="I15" s="123"/>
      <c r="J15" s="123"/>
      <c r="K15" s="123"/>
      <c r="L15" s="508"/>
    </row>
    <row r="16" spans="2:12" ht="25.2" customHeight="1" thickBot="1" x14ac:dyDescent="0.35">
      <c r="B16" s="27"/>
      <c r="C16" s="56" t="s">
        <v>99</v>
      </c>
      <c r="D16" s="18">
        <f>SUM(D6:D15)</f>
        <v>2756</v>
      </c>
      <c r="E16" s="18">
        <f>SUM(E6:E15)</f>
        <v>5270</v>
      </c>
      <c r="F16" s="18">
        <f>SUM(F6:F15)</f>
        <v>529</v>
      </c>
      <c r="G16" s="443">
        <f>SUM(G6:G15)</f>
        <v>2654</v>
      </c>
      <c r="H16" s="404">
        <f>SUM(H6:H15)</f>
        <v>3857</v>
      </c>
      <c r="I16" s="25">
        <f>IFERROR(G16/E16,"n/a")</f>
        <v>0.50360531309297918</v>
      </c>
      <c r="J16" s="25">
        <f>IFERROR(H16/E16,"n/a")</f>
        <v>0.73187855787476286</v>
      </c>
      <c r="K16" s="25">
        <f>IFERROR(H16/G16,"n/a")</f>
        <v>1.4532780708364732</v>
      </c>
      <c r="L16" s="534"/>
    </row>
    <row r="17" spans="2:15" x14ac:dyDescent="0.3">
      <c r="B17" s="281"/>
      <c r="C17" s="49"/>
      <c r="D17" s="16"/>
      <c r="E17" s="82"/>
      <c r="F17" s="82"/>
      <c r="G17" s="1"/>
      <c r="H17" s="118"/>
      <c r="I17" s="96"/>
      <c r="J17" s="96"/>
      <c r="K17" s="96"/>
      <c r="L17" s="502"/>
    </row>
    <row r="18" spans="2:15" s="142" customFormat="1" x14ac:dyDescent="0.3">
      <c r="B18" s="141">
        <v>4142</v>
      </c>
      <c r="C18" s="136" t="s">
        <v>96</v>
      </c>
      <c r="D18" s="137">
        <v>0</v>
      </c>
      <c r="E18" s="138">
        <v>0</v>
      </c>
      <c r="F18" s="138">
        <v>0</v>
      </c>
      <c r="G18" s="139">
        <v>0</v>
      </c>
      <c r="H18" s="138">
        <v>0</v>
      </c>
      <c r="I18" s="140" t="str">
        <f>IFERROR(G18/E18,"n/a")</f>
        <v>n/a</v>
      </c>
      <c r="J18" s="140" t="str">
        <f>IFERROR(H18/E18,"n/a")</f>
        <v>n/a</v>
      </c>
      <c r="K18" s="140" t="str">
        <f>IFERROR(H18/G18,"n/a")</f>
        <v>n/a</v>
      </c>
      <c r="L18" s="535" t="s">
        <v>172</v>
      </c>
    </row>
    <row r="19" spans="2:15" x14ac:dyDescent="0.3">
      <c r="B19" s="290"/>
      <c r="C19" s="135"/>
      <c r="D19" s="16"/>
      <c r="E19" s="82"/>
      <c r="F19" s="82"/>
      <c r="G19" s="436"/>
      <c r="H19" s="118"/>
      <c r="I19" s="96"/>
      <c r="J19" s="96"/>
      <c r="K19" s="96"/>
      <c r="L19" s="502"/>
    </row>
    <row r="20" spans="2:15" s="142" customFormat="1" x14ac:dyDescent="0.3">
      <c r="B20" s="284"/>
      <c r="C20" s="285" t="s">
        <v>95</v>
      </c>
      <c r="D20" s="286">
        <f>SUM(D18:D19)</f>
        <v>0</v>
      </c>
      <c r="E20" s="278">
        <f t="shared" ref="E20:H20" si="0">SUM(E18:E19)</f>
        <v>0</v>
      </c>
      <c r="F20" s="278">
        <f t="shared" ref="F20" si="1">SUM(F18:F19)</f>
        <v>0</v>
      </c>
      <c r="G20" s="437">
        <f t="shared" si="0"/>
        <v>0</v>
      </c>
      <c r="H20" s="405">
        <f t="shared" si="0"/>
        <v>0</v>
      </c>
      <c r="I20" s="287" t="str">
        <f>IFERROR(G20/E20,"n/a")</f>
        <v>n/a</v>
      </c>
      <c r="J20" s="287" t="str">
        <f>IFERROR(H20/E20,"n/a")</f>
        <v>n/a</v>
      </c>
      <c r="K20" s="287" t="str">
        <f>IFERROR(H20/G20,"n/a")</f>
        <v>n/a</v>
      </c>
      <c r="L20" s="532"/>
    </row>
    <row r="21" spans="2:15" x14ac:dyDescent="0.3">
      <c r="B21" s="291"/>
      <c r="C21" s="135"/>
      <c r="D21" s="16"/>
      <c r="E21" s="82"/>
      <c r="F21" s="82"/>
      <c r="G21" s="436"/>
      <c r="H21" s="118"/>
      <c r="I21" s="96"/>
      <c r="J21" s="399"/>
      <c r="K21" s="399"/>
      <c r="L21" s="502"/>
    </row>
    <row r="22" spans="2:15" ht="16.2" thickBot="1" x14ac:dyDescent="0.35">
      <c r="B22" s="11"/>
      <c r="C22" s="58" t="s">
        <v>97</v>
      </c>
      <c r="D22" s="18">
        <f>D16+D20</f>
        <v>2756</v>
      </c>
      <c r="E22" s="18">
        <f t="shared" ref="E22:H22" si="2">E16+E20</f>
        <v>5270</v>
      </c>
      <c r="F22" s="18">
        <f t="shared" ref="F22" si="3">F16+F20</f>
        <v>529</v>
      </c>
      <c r="G22" s="443">
        <f t="shared" si="2"/>
        <v>2654</v>
      </c>
      <c r="H22" s="406">
        <f t="shared" si="2"/>
        <v>3857</v>
      </c>
      <c r="I22" s="131">
        <f>IFERROR(G22/E22,"n/a")</f>
        <v>0.50360531309297918</v>
      </c>
      <c r="J22" s="131">
        <f>IFERROR(H22/E22,"n/a")</f>
        <v>0.73187855787476286</v>
      </c>
      <c r="K22" s="131">
        <f>IFERROR(H22/G22,"n/a")</f>
        <v>1.4532780708364732</v>
      </c>
      <c r="L22" s="536"/>
    </row>
    <row r="28" spans="2:15" x14ac:dyDescent="0.3">
      <c r="I28" s="13"/>
      <c r="J28" s="13"/>
      <c r="K28" s="122"/>
      <c r="L28" s="104"/>
      <c r="M28" s="125"/>
      <c r="N28" s="125"/>
      <c r="O28" s="125"/>
    </row>
  </sheetData>
  <phoneticPr fontId="13" type="noConversion"/>
  <pageMargins left="0.75000000000000011" right="0.75000000000000011" top="1" bottom="1" header="0.5" footer="0.5"/>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42"/>
  <sheetViews>
    <sheetView topLeftCell="C20" workbookViewId="0">
      <selection activeCell="G30" sqref="G30"/>
    </sheetView>
  </sheetViews>
  <sheetFormatPr defaultColWidth="11.19921875" defaultRowHeight="15.6" x14ac:dyDescent="0.3"/>
  <cols>
    <col min="1" max="1" width="4.19921875" customWidth="1"/>
    <col min="2" max="2" width="10.69921875" customWidth="1"/>
    <col min="3" max="3" width="35" customWidth="1"/>
    <col min="4" max="6" width="13.5" customWidth="1"/>
    <col min="7" max="8" width="13.5" style="194" customWidth="1"/>
    <col min="9" max="11" width="13.5" customWidth="1"/>
    <col min="12" max="12" width="61.5" style="196" customWidth="1"/>
  </cols>
  <sheetData>
    <row r="1" spans="2:12" ht="16.2" thickBot="1" x14ac:dyDescent="0.35"/>
    <row r="2" spans="2:12" ht="21" x14ac:dyDescent="0.3">
      <c r="B2" s="323" t="s">
        <v>175</v>
      </c>
      <c r="C2" s="324"/>
      <c r="D2" s="324"/>
      <c r="E2" s="325"/>
      <c r="F2" s="325"/>
      <c r="G2" s="326"/>
      <c r="H2" s="326"/>
      <c r="I2" s="327"/>
      <c r="J2" s="327"/>
      <c r="K2" s="327"/>
      <c r="L2" s="328"/>
    </row>
    <row r="3" spans="2:12" ht="21" x14ac:dyDescent="0.3">
      <c r="B3" s="329" t="s">
        <v>69</v>
      </c>
      <c r="C3" s="330"/>
      <c r="D3" s="330"/>
      <c r="E3" s="332"/>
      <c r="F3" s="332"/>
      <c r="G3" s="333"/>
      <c r="H3" s="333"/>
      <c r="I3" s="334"/>
      <c r="J3" s="334"/>
      <c r="K3" s="334"/>
      <c r="L3" s="335"/>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2"/>
      <c r="C5" s="48"/>
      <c r="D5" s="2"/>
      <c r="E5" s="3"/>
      <c r="F5" s="3"/>
      <c r="G5" s="195"/>
      <c r="H5" s="195"/>
      <c r="I5" s="10"/>
      <c r="J5" s="10"/>
      <c r="K5" s="10"/>
      <c r="L5" s="116"/>
    </row>
    <row r="6" spans="2:12" ht="79.8" x14ac:dyDescent="0.3">
      <c r="B6" s="15">
        <v>4300</v>
      </c>
      <c r="C6" s="52" t="s">
        <v>70</v>
      </c>
      <c r="D6" s="390">
        <v>3811</v>
      </c>
      <c r="E6" s="390">
        <v>4179</v>
      </c>
      <c r="F6" s="390">
        <v>1357</v>
      </c>
      <c r="G6" s="447">
        <v>4071.96</v>
      </c>
      <c r="H6" s="383">
        <v>4422.7</v>
      </c>
      <c r="I6" s="395">
        <f>IFERROR(G6/E6,"n/a")</f>
        <v>0.97438621679827708</v>
      </c>
      <c r="J6" s="395">
        <f>IFERROR(H6/E6,"n/a")</f>
        <v>1.0583153864560899</v>
      </c>
      <c r="K6" s="395">
        <f>IFERROR(H6/G6,"n/a")</f>
        <v>1.0861354237271486</v>
      </c>
      <c r="L6" s="505" t="s">
        <v>259</v>
      </c>
    </row>
    <row r="7" spans="2:12" x14ac:dyDescent="0.3">
      <c r="B7" s="99"/>
      <c r="C7" s="92"/>
      <c r="D7" s="391"/>
      <c r="E7" s="391"/>
      <c r="F7" s="391"/>
      <c r="G7" s="448"/>
      <c r="H7" s="384"/>
      <c r="I7" s="391"/>
      <c r="J7" s="391"/>
      <c r="K7" s="391"/>
      <c r="L7" s="537"/>
    </row>
    <row r="8" spans="2:12" ht="66.599999999999994" x14ac:dyDescent="0.3">
      <c r="B8" s="15">
        <v>4301</v>
      </c>
      <c r="C8" s="52" t="s">
        <v>71</v>
      </c>
      <c r="D8" s="38">
        <v>10950</v>
      </c>
      <c r="E8" s="38">
        <v>20000</v>
      </c>
      <c r="F8" s="38">
        <v>3285</v>
      </c>
      <c r="G8" s="449">
        <v>17750</v>
      </c>
      <c r="H8" s="383">
        <v>17750</v>
      </c>
      <c r="I8" s="395">
        <f>IFERROR(G8/E8,"n/a")</f>
        <v>0.88749999999999996</v>
      </c>
      <c r="J8" s="395">
        <f>IFERROR(H8/E8,"n/a")</f>
        <v>0.88749999999999996</v>
      </c>
      <c r="K8" s="395">
        <f>IFERROR(H8/G8,"n/a")</f>
        <v>1</v>
      </c>
      <c r="L8" s="505" t="s">
        <v>260</v>
      </c>
    </row>
    <row r="9" spans="2:12" x14ac:dyDescent="0.3">
      <c r="B9" s="9"/>
      <c r="C9" s="49"/>
      <c r="D9" s="10"/>
      <c r="E9" s="10"/>
      <c r="F9" s="10"/>
      <c r="G9" s="450"/>
      <c r="H9" s="385"/>
      <c r="I9" s="10"/>
      <c r="J9" s="10"/>
      <c r="K9" s="10"/>
      <c r="L9" s="504"/>
    </row>
    <row r="10" spans="2:12" x14ac:dyDescent="0.3">
      <c r="B10" s="15">
        <v>4302</v>
      </c>
      <c r="C10" s="52" t="s">
        <v>72</v>
      </c>
      <c r="D10" s="390">
        <v>2352</v>
      </c>
      <c r="E10" s="390">
        <v>2675</v>
      </c>
      <c r="F10" s="390">
        <v>504</v>
      </c>
      <c r="G10" s="447">
        <v>1624</v>
      </c>
      <c r="H10" s="383">
        <v>1705.2</v>
      </c>
      <c r="I10" s="395">
        <f>IFERROR(G10/E10,"n/a")</f>
        <v>0.60710280373831771</v>
      </c>
      <c r="J10" s="395">
        <f>IFERROR(H10/E10,"n/a")</f>
        <v>0.63745794392523369</v>
      </c>
      <c r="K10" s="395">
        <f>IFERROR(H10/G10,"n/a")</f>
        <v>1.05</v>
      </c>
      <c r="L10" s="505" t="s">
        <v>261</v>
      </c>
    </row>
    <row r="11" spans="2:12" x14ac:dyDescent="0.3">
      <c r="B11" s="9"/>
      <c r="C11" s="49"/>
      <c r="D11" s="10"/>
      <c r="E11" s="10"/>
      <c r="F11" s="10"/>
      <c r="G11" s="450"/>
      <c r="H11" s="385"/>
      <c r="I11" s="10"/>
      <c r="J11" s="10"/>
      <c r="K11" s="10"/>
      <c r="L11" s="504"/>
    </row>
    <row r="12" spans="2:12" ht="53.4" x14ac:dyDescent="0.3">
      <c r="B12" s="15">
        <v>4303</v>
      </c>
      <c r="C12" s="52" t="s">
        <v>73</v>
      </c>
      <c r="D12" s="390">
        <v>3765</v>
      </c>
      <c r="E12" s="390">
        <v>10000</v>
      </c>
      <c r="F12" s="390">
        <v>358</v>
      </c>
      <c r="G12" s="449">
        <v>13000</v>
      </c>
      <c r="H12" s="383">
        <v>10000</v>
      </c>
      <c r="I12" s="395">
        <f>IFERROR(G12/E12,"n/a")</f>
        <v>1.3</v>
      </c>
      <c r="J12" s="395">
        <f>IFERROR(H12/E12,"n/a")</f>
        <v>1</v>
      </c>
      <c r="K12" s="395">
        <f>IFERROR(H12/G12,"n/a")</f>
        <v>0.76923076923076927</v>
      </c>
      <c r="L12" s="505" t="s">
        <v>262</v>
      </c>
    </row>
    <row r="13" spans="2:12" x14ac:dyDescent="0.3">
      <c r="B13" s="14"/>
      <c r="C13" s="49"/>
      <c r="D13" s="392"/>
      <c r="E13" s="392"/>
      <c r="F13" s="392"/>
      <c r="G13" s="451"/>
      <c r="H13" s="386"/>
      <c r="I13" s="396"/>
      <c r="J13" s="396"/>
      <c r="K13" s="396"/>
      <c r="L13" s="510"/>
    </row>
    <row r="14" spans="2:12" ht="53.4" x14ac:dyDescent="0.3">
      <c r="B14" s="15">
        <v>4311</v>
      </c>
      <c r="C14" s="52" t="s">
        <v>171</v>
      </c>
      <c r="D14" s="390">
        <v>0</v>
      </c>
      <c r="E14" s="390">
        <v>683</v>
      </c>
      <c r="F14" s="390">
        <v>0</v>
      </c>
      <c r="G14" s="449">
        <v>683</v>
      </c>
      <c r="H14" s="383">
        <v>717.15</v>
      </c>
      <c r="I14" s="395">
        <f>IFERROR(G14/E14,"n/a")</f>
        <v>1</v>
      </c>
      <c r="J14" s="395">
        <f>IFERROR(H14/E14,"n/a")</f>
        <v>1.05</v>
      </c>
      <c r="K14" s="395">
        <f>IFERROR(H14/G14,"n/a")</f>
        <v>1.05</v>
      </c>
      <c r="L14" s="505" t="s">
        <v>263</v>
      </c>
    </row>
    <row r="15" spans="2:12" x14ac:dyDescent="0.3">
      <c r="B15" s="9"/>
      <c r="C15" s="49"/>
      <c r="D15" s="10"/>
      <c r="E15" s="10"/>
      <c r="F15" s="10"/>
      <c r="G15" s="450"/>
      <c r="H15" s="385"/>
      <c r="I15" s="10"/>
      <c r="J15" s="10"/>
      <c r="K15" s="10"/>
      <c r="L15" s="504"/>
    </row>
    <row r="16" spans="2:12" ht="28.2" customHeight="1" x14ac:dyDescent="0.3">
      <c r="B16" s="15">
        <v>4320</v>
      </c>
      <c r="C16" s="53" t="s">
        <v>74</v>
      </c>
      <c r="D16" s="78">
        <v>2701</v>
      </c>
      <c r="E16" s="78">
        <v>2701</v>
      </c>
      <c r="F16" s="78">
        <v>2701</v>
      </c>
      <c r="G16" s="447">
        <v>2701</v>
      </c>
      <c r="H16" s="383">
        <v>2701</v>
      </c>
      <c r="I16" s="395">
        <f>IFERROR(G16/E16,"n/a")</f>
        <v>1</v>
      </c>
      <c r="J16" s="395">
        <f>IFERROR(H16/E16,"n/a")</f>
        <v>1</v>
      </c>
      <c r="K16" s="395">
        <f>IFERROR(H16/G16,"n/a")</f>
        <v>1</v>
      </c>
      <c r="L16" s="505" t="s">
        <v>75</v>
      </c>
    </row>
    <row r="17" spans="2:12" x14ac:dyDescent="0.3">
      <c r="B17" s="9"/>
      <c r="C17" s="50"/>
      <c r="D17" s="10"/>
      <c r="E17" s="10"/>
      <c r="F17" s="10"/>
      <c r="G17" s="450"/>
      <c r="H17" s="385"/>
      <c r="I17" s="10"/>
      <c r="J17" s="10"/>
      <c r="K17" s="10"/>
      <c r="L17" s="504"/>
    </row>
    <row r="18" spans="2:12" ht="40.200000000000003" customHeight="1" x14ac:dyDescent="0.3">
      <c r="B18" s="15">
        <v>4200</v>
      </c>
      <c r="C18" s="53" t="s">
        <v>76</v>
      </c>
      <c r="D18" s="390">
        <v>1107</v>
      </c>
      <c r="E18" s="390">
        <v>2772</v>
      </c>
      <c r="F18" s="390">
        <v>1083</v>
      </c>
      <c r="G18" s="447">
        <v>2169.02</v>
      </c>
      <c r="H18" s="383">
        <v>4020</v>
      </c>
      <c r="I18" s="395">
        <f>IFERROR(G18/E18,"n/a")</f>
        <v>0.78247474747474743</v>
      </c>
      <c r="J18" s="395">
        <f>IFERROR(H18/E18,"n/a")</f>
        <v>1.4502164502164503</v>
      </c>
      <c r="K18" s="395">
        <f>IFERROR(H18/G18,"n/a")</f>
        <v>1.8533715687268906</v>
      </c>
      <c r="L18" s="505" t="s">
        <v>264</v>
      </c>
    </row>
    <row r="19" spans="2:12" x14ac:dyDescent="0.3">
      <c r="B19" s="9"/>
      <c r="C19" s="50"/>
      <c r="D19" s="10"/>
      <c r="E19" s="10"/>
      <c r="F19" s="10"/>
      <c r="G19" s="450"/>
      <c r="H19" s="385"/>
      <c r="I19" s="10"/>
      <c r="J19" s="10"/>
      <c r="K19" s="10"/>
      <c r="L19" s="504"/>
    </row>
    <row r="20" spans="2:12" ht="27" x14ac:dyDescent="0.3">
      <c r="B20" s="15">
        <v>4201</v>
      </c>
      <c r="C20" s="53" t="s">
        <v>77</v>
      </c>
      <c r="D20" s="390">
        <v>1218</v>
      </c>
      <c r="E20" s="390">
        <v>1000</v>
      </c>
      <c r="F20" s="390">
        <v>60</v>
      </c>
      <c r="G20" s="447">
        <v>1000</v>
      </c>
      <c r="H20" s="383">
        <v>1500</v>
      </c>
      <c r="I20" s="395">
        <f>IFERROR(G20/E20,"n/a")</f>
        <v>1</v>
      </c>
      <c r="J20" s="395">
        <f>IFERROR(H20/E20,"n/a")</f>
        <v>1.5</v>
      </c>
      <c r="K20" s="395">
        <f>IFERROR(H20/G20,"n/a")</f>
        <v>1.5</v>
      </c>
      <c r="L20" s="505" t="s">
        <v>265</v>
      </c>
    </row>
    <row r="21" spans="2:12" x14ac:dyDescent="0.3">
      <c r="B21" s="9"/>
      <c r="C21" s="50"/>
      <c r="D21" s="10"/>
      <c r="E21" s="10"/>
      <c r="F21" s="10"/>
      <c r="G21" s="450"/>
      <c r="H21" s="385"/>
      <c r="I21" s="10"/>
      <c r="J21" s="10"/>
      <c r="K21" s="10"/>
      <c r="L21" s="504"/>
    </row>
    <row r="22" spans="2:12" x14ac:dyDescent="0.3">
      <c r="B22" s="15">
        <v>4202</v>
      </c>
      <c r="C22" s="53" t="s">
        <v>78</v>
      </c>
      <c r="D22" s="390">
        <v>250</v>
      </c>
      <c r="E22" s="390">
        <v>250</v>
      </c>
      <c r="F22" s="390">
        <v>125</v>
      </c>
      <c r="G22" s="447">
        <v>250</v>
      </c>
      <c r="H22" s="383">
        <v>250</v>
      </c>
      <c r="I22" s="395">
        <f>IFERROR(G22/E22,"n/a")</f>
        <v>1</v>
      </c>
      <c r="J22" s="395">
        <f>IFERROR(H22/E22,"n/a")</f>
        <v>1</v>
      </c>
      <c r="K22" s="395">
        <f>IFERROR(H22/G22,"n/a")</f>
        <v>1</v>
      </c>
      <c r="L22" s="503"/>
    </row>
    <row r="23" spans="2:12" x14ac:dyDescent="0.3">
      <c r="B23" s="101"/>
      <c r="C23" s="423"/>
      <c r="D23" s="392"/>
      <c r="E23" s="392"/>
      <c r="F23" s="392"/>
      <c r="G23" s="452"/>
      <c r="H23" s="386"/>
      <c r="I23" s="396"/>
      <c r="J23" s="396"/>
      <c r="K23" s="396"/>
      <c r="L23" s="504"/>
    </row>
    <row r="24" spans="2:12" x14ac:dyDescent="0.3">
      <c r="B24" s="444">
        <v>4210</v>
      </c>
      <c r="C24" s="445" t="s">
        <v>15</v>
      </c>
      <c r="D24" s="446">
        <v>3385</v>
      </c>
      <c r="E24" s="446"/>
      <c r="F24" s="446">
        <v>-1245</v>
      </c>
      <c r="G24" s="452">
        <v>0</v>
      </c>
      <c r="H24" s="386"/>
      <c r="I24" s="396"/>
      <c r="J24" s="396"/>
      <c r="K24" s="396"/>
      <c r="L24" s="504"/>
    </row>
    <row r="25" spans="2:12" x14ac:dyDescent="0.3">
      <c r="B25" s="101"/>
      <c r="C25" s="100"/>
      <c r="D25" s="393"/>
      <c r="E25" s="393"/>
      <c r="F25" s="393"/>
      <c r="G25" s="453"/>
      <c r="H25" s="387"/>
      <c r="I25" s="397"/>
      <c r="J25" s="397"/>
      <c r="K25" s="397"/>
      <c r="L25" s="537"/>
    </row>
    <row r="26" spans="2:12" ht="27" x14ac:dyDescent="0.3">
      <c r="B26" s="40">
        <v>4309</v>
      </c>
      <c r="C26" s="111" t="s">
        <v>79</v>
      </c>
      <c r="D26" s="78">
        <v>156</v>
      </c>
      <c r="E26" s="78">
        <v>221</v>
      </c>
      <c r="F26" s="78">
        <v>70</v>
      </c>
      <c r="G26" s="447">
        <v>140</v>
      </c>
      <c r="H26" s="383">
        <v>237</v>
      </c>
      <c r="I26" s="395">
        <f>IFERROR(G26/E26,"n/a")</f>
        <v>0.63348416289592757</v>
      </c>
      <c r="J26" s="395">
        <f>IFERROR(H26/E26,"n/a")</f>
        <v>1.0723981900452488</v>
      </c>
      <c r="K26" s="395">
        <f>IFERROR(H26/G26,"n/a")</f>
        <v>1.6928571428571428</v>
      </c>
      <c r="L26" s="505" t="s">
        <v>266</v>
      </c>
    </row>
    <row r="27" spans="2:12" x14ac:dyDescent="0.3">
      <c r="B27" s="9"/>
      <c r="C27" s="49"/>
      <c r="D27" s="16"/>
      <c r="E27" s="1"/>
      <c r="F27" s="1"/>
      <c r="G27" s="450"/>
      <c r="H27" s="385"/>
      <c r="I27" s="10"/>
      <c r="J27" s="10"/>
      <c r="K27" s="10"/>
      <c r="L27" s="504"/>
    </row>
    <row r="28" spans="2:12" ht="31.95" customHeight="1" thickBot="1" x14ac:dyDescent="0.35">
      <c r="B28" s="11"/>
      <c r="C28" s="51" t="s">
        <v>98</v>
      </c>
      <c r="D28" s="394">
        <f>SUM(D5:D27)</f>
        <v>29695</v>
      </c>
      <c r="E28" s="394">
        <f>SUM(E5:E27)</f>
        <v>44481</v>
      </c>
      <c r="F28" s="394">
        <f>SUM(F5:F27)</f>
        <v>8298</v>
      </c>
      <c r="G28" s="454">
        <f>SUM(G5:G27)</f>
        <v>43388.979999999996</v>
      </c>
      <c r="H28" s="469">
        <f>SUM(H5:H27)</f>
        <v>43303.05</v>
      </c>
      <c r="I28" s="398">
        <f>IFERROR(G28/E28,"n/a")</f>
        <v>0.97544974258672235</v>
      </c>
      <c r="J28" s="398">
        <f>IFERROR(H28/E28,"n/a")</f>
        <v>0.97351790652188586</v>
      </c>
      <c r="K28" s="398">
        <f>IFERROR(H28/G28,"n/a")</f>
        <v>0.99801954321120268</v>
      </c>
      <c r="L28" s="538"/>
    </row>
    <row r="29" spans="2:12" ht="15.6" customHeight="1" x14ac:dyDescent="0.3">
      <c r="B29" s="281"/>
      <c r="C29" s="49"/>
      <c r="D29" s="16"/>
      <c r="E29" s="82"/>
      <c r="F29" s="82"/>
      <c r="G29" s="455"/>
      <c r="H29" s="385"/>
      <c r="I29" s="96"/>
      <c r="J29" s="96"/>
      <c r="K29" s="96"/>
      <c r="L29" s="502"/>
    </row>
    <row r="30" spans="2:12" x14ac:dyDescent="0.3">
      <c r="B30" s="281">
        <v>4210</v>
      </c>
      <c r="C30" s="49" t="s">
        <v>101</v>
      </c>
      <c r="D30" s="16">
        <v>0</v>
      </c>
      <c r="E30" s="82">
        <v>0</v>
      </c>
      <c r="F30" s="82">
        <v>0</v>
      </c>
      <c r="G30" s="451">
        <v>15898</v>
      </c>
      <c r="H30" s="385">
        <v>47697</v>
      </c>
      <c r="I30" s="96" t="str">
        <f>IFERROR(G30/E30,"n/a")</f>
        <v>n/a</v>
      </c>
      <c r="J30" s="96" t="str">
        <f>IFERROR(H30/E30,"n/a")</f>
        <v>n/a</v>
      </c>
      <c r="K30" s="96">
        <f>IFERROR(H30/G30,"n/a")</f>
        <v>3.0001887029815073</v>
      </c>
      <c r="L30" s="510" t="s">
        <v>267</v>
      </c>
    </row>
    <row r="31" spans="2:12" x14ac:dyDescent="0.3">
      <c r="B31" s="290"/>
      <c r="C31" s="135"/>
      <c r="D31" s="16"/>
      <c r="E31" s="82"/>
      <c r="F31" s="82"/>
      <c r="G31" s="455"/>
      <c r="H31" s="385"/>
      <c r="I31" s="96"/>
      <c r="J31" s="96"/>
      <c r="K31" s="96"/>
      <c r="L31" s="502"/>
    </row>
    <row r="32" spans="2:12" ht="27" x14ac:dyDescent="0.3">
      <c r="B32" s="178">
        <v>4301</v>
      </c>
      <c r="C32" s="240" t="s">
        <v>102</v>
      </c>
      <c r="D32" s="176">
        <v>0</v>
      </c>
      <c r="E32" s="233">
        <v>0</v>
      </c>
      <c r="F32" s="233">
        <v>0</v>
      </c>
      <c r="G32" s="542">
        <v>1000</v>
      </c>
      <c r="H32" s="543">
        <v>0</v>
      </c>
      <c r="I32" s="177" t="str">
        <f>IFERROR(G32/E32,"n/a")</f>
        <v>n/a</v>
      </c>
      <c r="J32" s="177" t="str">
        <f>IFERROR(H32/E32,"n/a")</f>
        <v>n/a</v>
      </c>
      <c r="K32" s="177">
        <f>IFERROR(H32/G32,"n/a")</f>
        <v>0</v>
      </c>
      <c r="L32" s="513" t="s">
        <v>201</v>
      </c>
    </row>
    <row r="33" spans="2:12" x14ac:dyDescent="0.3">
      <c r="B33" s="281"/>
      <c r="C33" s="49"/>
      <c r="D33" s="16"/>
      <c r="E33" s="82"/>
      <c r="F33" s="82"/>
      <c r="G33" s="455"/>
      <c r="H33" s="385"/>
      <c r="I33" s="96"/>
      <c r="J33" s="96"/>
      <c r="K33" s="96"/>
      <c r="L33" s="502"/>
    </row>
    <row r="34" spans="2:12" ht="53.4" x14ac:dyDescent="0.3">
      <c r="B34" s="290">
        <v>4306</v>
      </c>
      <c r="C34" s="135" t="s">
        <v>119</v>
      </c>
      <c r="D34" s="16">
        <v>0</v>
      </c>
      <c r="E34" s="283">
        <v>0</v>
      </c>
      <c r="F34" s="283">
        <v>0</v>
      </c>
      <c r="G34" s="455">
        <v>0</v>
      </c>
      <c r="H34" s="385">
        <v>0</v>
      </c>
      <c r="I34" s="96" t="str">
        <f>IFERROR(G34/E34,"n/a")</f>
        <v>n/a</v>
      </c>
      <c r="J34" s="96" t="str">
        <f>IFERROR(H34/E34,"n/a")</f>
        <v>n/a</v>
      </c>
      <c r="K34" s="96" t="str">
        <f>IFERROR(H34/G34,"n/a")</f>
        <v>n/a</v>
      </c>
      <c r="L34" s="510" t="s">
        <v>268</v>
      </c>
    </row>
    <row r="35" spans="2:12" x14ac:dyDescent="0.3">
      <c r="B35" s="290"/>
      <c r="C35" s="135"/>
      <c r="D35" s="16"/>
      <c r="E35" s="82"/>
      <c r="F35" s="82"/>
      <c r="G35" s="455"/>
      <c r="H35" s="385"/>
      <c r="I35" s="96"/>
      <c r="J35" s="96"/>
      <c r="K35" s="96"/>
      <c r="L35" s="510"/>
    </row>
    <row r="36" spans="2:12" x14ac:dyDescent="0.3">
      <c r="B36" s="284"/>
      <c r="C36" s="285" t="s">
        <v>95</v>
      </c>
      <c r="D36" s="286">
        <f>SUM(D30:D35)</f>
        <v>0</v>
      </c>
      <c r="E36" s="278">
        <f>SUM(E30:E35)</f>
        <v>0</v>
      </c>
      <c r="F36" s="278">
        <f>SUM(F30:F35)</f>
        <v>0</v>
      </c>
      <c r="G36" s="456">
        <f>SUM(G30:G35)</f>
        <v>16898</v>
      </c>
      <c r="H36" s="388">
        <f>SUM(H30:H35)</f>
        <v>47697</v>
      </c>
      <c r="I36" s="287" t="str">
        <f>IFERROR(G36/E36,"n/a")</f>
        <v>n/a</v>
      </c>
      <c r="J36" s="287" t="str">
        <f>IFERROR(H36/E36,"n/a")</f>
        <v>n/a</v>
      </c>
      <c r="K36" s="287">
        <f>IFERROR(H36/G36,"n/a")</f>
        <v>2.822641732749438</v>
      </c>
      <c r="L36" s="532"/>
    </row>
    <row r="37" spans="2:12" x14ac:dyDescent="0.3">
      <c r="B37" s="291"/>
      <c r="C37" s="135"/>
      <c r="D37" s="16"/>
      <c r="E37" s="82"/>
      <c r="F37" s="82"/>
      <c r="G37" s="455"/>
      <c r="H37" s="385"/>
      <c r="I37" s="96"/>
      <c r="J37" s="399"/>
      <c r="K37" s="399"/>
      <c r="L37" s="502"/>
    </row>
    <row r="38" spans="2:12" ht="31.8" thickBot="1" x14ac:dyDescent="0.35">
      <c r="B38" s="288"/>
      <c r="C38" s="58" t="s">
        <v>100</v>
      </c>
      <c r="D38" s="18">
        <f>D28+D36</f>
        <v>29695</v>
      </c>
      <c r="E38" s="18">
        <f>E28+E36</f>
        <v>44481</v>
      </c>
      <c r="F38" s="18">
        <f>F28+F36</f>
        <v>8298</v>
      </c>
      <c r="G38" s="457">
        <f>G28+G36</f>
        <v>60286.979999999996</v>
      </c>
      <c r="H38" s="389">
        <f>H28+H36</f>
        <v>91000.05</v>
      </c>
      <c r="I38" s="131">
        <f>IFERROR(G38/E38,"n/a")</f>
        <v>1.3553422809738989</v>
      </c>
      <c r="J38" s="131">
        <f>IFERROR(H38/E38,"n/a")</f>
        <v>2.0458184393336483</v>
      </c>
      <c r="K38" s="131">
        <f>IFERROR(H38/G38,"n/a")</f>
        <v>1.5094478111194161</v>
      </c>
      <c r="L38" s="533"/>
    </row>
    <row r="39" spans="2:12" x14ac:dyDescent="0.3">
      <c r="L39" s="197"/>
    </row>
    <row r="40" spans="2:12" x14ac:dyDescent="0.3">
      <c r="H40" s="304"/>
      <c r="L40" s="197"/>
    </row>
    <row r="41" spans="2:12" x14ac:dyDescent="0.3">
      <c r="L41" s="197"/>
    </row>
    <row r="42" spans="2:12" x14ac:dyDescent="0.3">
      <c r="L42" s="197"/>
    </row>
  </sheetData>
  <phoneticPr fontId="13" type="noConversion"/>
  <pageMargins left="0.75000000000000011" right="0.75000000000000011" top="1" bottom="1" header="0.5" footer="0.5"/>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45"/>
  <sheetViews>
    <sheetView topLeftCell="C16" workbookViewId="0">
      <selection activeCell="L30" sqref="L30"/>
    </sheetView>
  </sheetViews>
  <sheetFormatPr defaultColWidth="11.19921875" defaultRowHeight="15.6" x14ac:dyDescent="0.3"/>
  <cols>
    <col min="1" max="1" width="4.19921875" customWidth="1"/>
    <col min="2" max="2" width="10.69921875" customWidth="1"/>
    <col min="3" max="3" width="35" customWidth="1"/>
    <col min="4" max="11" width="13.5" customWidth="1"/>
    <col min="12" max="12" width="61.5" customWidth="1"/>
  </cols>
  <sheetData>
    <row r="1" spans="2:12" ht="16.2" thickBot="1" x14ac:dyDescent="0.35"/>
    <row r="2" spans="2:12" ht="21" x14ac:dyDescent="0.3">
      <c r="B2" s="305" t="s">
        <v>175</v>
      </c>
      <c r="C2" s="340"/>
      <c r="D2" s="306"/>
      <c r="E2" s="341"/>
      <c r="F2" s="341"/>
      <c r="G2" s="342"/>
      <c r="H2" s="343"/>
      <c r="I2" s="343"/>
      <c r="J2" s="343"/>
      <c r="K2" s="343"/>
      <c r="L2" s="344"/>
    </row>
    <row r="3" spans="2:12" ht="21" x14ac:dyDescent="0.3">
      <c r="B3" s="345" t="s">
        <v>80</v>
      </c>
      <c r="C3" s="346"/>
      <c r="D3" s="312"/>
      <c r="E3" s="313"/>
      <c r="F3" s="313"/>
      <c r="G3" s="314"/>
      <c r="H3" s="347"/>
      <c r="I3" s="348"/>
      <c r="J3" s="348"/>
      <c r="K3" s="348"/>
      <c r="L3" s="349"/>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19"/>
      <c r="C5" s="48"/>
      <c r="D5" s="2"/>
      <c r="E5" s="3"/>
      <c r="F5" s="3"/>
      <c r="G5" s="119"/>
      <c r="H5" s="118"/>
      <c r="I5" s="24"/>
      <c r="J5" s="24"/>
      <c r="K5" s="24"/>
      <c r="L5" s="110"/>
    </row>
    <row r="6" spans="2:12" ht="27" x14ac:dyDescent="0.3">
      <c r="B6" s="26">
        <v>4350</v>
      </c>
      <c r="C6" s="48" t="s">
        <v>19</v>
      </c>
      <c r="D6" s="3">
        <v>3880</v>
      </c>
      <c r="E6" s="3">
        <v>12000</v>
      </c>
      <c r="F6" s="3">
        <v>-1220</v>
      </c>
      <c r="G6" s="119">
        <v>1000</v>
      </c>
      <c r="H6" s="403">
        <v>0</v>
      </c>
      <c r="I6" s="24">
        <f t="shared" ref="I6" si="0">IFERROR(G6/E6,"n/a")</f>
        <v>8.3333333333333329E-2</v>
      </c>
      <c r="J6" s="24">
        <f t="shared" ref="J6" si="1">IFERROR(H6/E6,"n/a")</f>
        <v>0</v>
      </c>
      <c r="K6" s="24">
        <f>IFERROR(H6/G6,"n/a")</f>
        <v>0</v>
      </c>
      <c r="L6" s="510" t="s">
        <v>280</v>
      </c>
    </row>
    <row r="7" spans="2:12" x14ac:dyDescent="0.3">
      <c r="B7" s="12"/>
      <c r="C7" s="48"/>
      <c r="D7" s="2"/>
      <c r="E7" s="3"/>
      <c r="F7" s="3"/>
      <c r="G7" s="119"/>
      <c r="H7" s="118"/>
      <c r="I7" s="24"/>
      <c r="J7" s="24"/>
      <c r="K7" s="24"/>
      <c r="L7" s="506"/>
    </row>
    <row r="8" spans="2:12" x14ac:dyDescent="0.3">
      <c r="B8" s="40">
        <v>4350</v>
      </c>
      <c r="C8" s="76" t="s">
        <v>81</v>
      </c>
      <c r="D8" s="439">
        <v>20</v>
      </c>
      <c r="E8" s="38">
        <v>0</v>
      </c>
      <c r="F8" s="38">
        <v>0</v>
      </c>
      <c r="G8" s="433">
        <v>0</v>
      </c>
      <c r="H8" s="409">
        <v>1750</v>
      </c>
      <c r="I8" s="395" t="str">
        <f>IFERROR(G8/E8,"n/a")</f>
        <v>n/a</v>
      </c>
      <c r="J8" s="395" t="str">
        <f>IFERROR(H8/E8,"n/a")</f>
        <v>n/a</v>
      </c>
      <c r="K8" s="395" t="str">
        <f>IFERROR(H8/G8,"n/a")</f>
        <v>n/a</v>
      </c>
      <c r="L8" s="505" t="s">
        <v>269</v>
      </c>
    </row>
    <row r="9" spans="2:12" x14ac:dyDescent="0.3">
      <c r="B9" s="12"/>
      <c r="C9" s="48"/>
      <c r="D9" s="3"/>
      <c r="E9" s="10"/>
      <c r="F9" s="10"/>
      <c r="G9" s="119"/>
      <c r="H9" s="118"/>
      <c r="I9" s="24"/>
      <c r="J9" s="24"/>
      <c r="K9" s="24"/>
      <c r="L9" s="506"/>
    </row>
    <row r="10" spans="2:12" x14ac:dyDescent="0.3">
      <c r="B10" s="12"/>
      <c r="C10" s="48"/>
      <c r="D10" s="3">
        <v>0</v>
      </c>
      <c r="E10" s="3">
        <v>0</v>
      </c>
      <c r="F10" s="3">
        <v>0</v>
      </c>
      <c r="G10" s="119">
        <v>0</v>
      </c>
      <c r="H10" s="103">
        <v>0</v>
      </c>
      <c r="I10" s="24" t="str">
        <f t="shared" ref="I10:I28" si="2">IFERROR(G10/E10,"n/a")</f>
        <v>n/a</v>
      </c>
      <c r="J10" s="24" t="str">
        <f t="shared" ref="J10:J28" si="3">IFERROR(H10/E10,"n/a")</f>
        <v>n/a</v>
      </c>
      <c r="K10" s="24" t="str">
        <f>IFERROR(H10/G10,"n/a")</f>
        <v>n/a</v>
      </c>
      <c r="L10" s="506"/>
    </row>
    <row r="11" spans="2:12" x14ac:dyDescent="0.3">
      <c r="B11" s="12"/>
      <c r="C11" s="48"/>
      <c r="D11" s="3">
        <v>0</v>
      </c>
      <c r="E11" s="3">
        <v>0</v>
      </c>
      <c r="F11" s="3">
        <v>0</v>
      </c>
      <c r="G11" s="119">
        <v>0</v>
      </c>
      <c r="H11" s="103">
        <v>0</v>
      </c>
      <c r="I11" s="24" t="str">
        <f t="shared" si="2"/>
        <v>n/a</v>
      </c>
      <c r="J11" s="24" t="str">
        <f t="shared" si="3"/>
        <v>n/a</v>
      </c>
      <c r="K11" s="24" t="str">
        <f>IFERROR(H11/G11,"n/a")</f>
        <v>n/a</v>
      </c>
      <c r="L11" s="506"/>
    </row>
    <row r="12" spans="2:12" x14ac:dyDescent="0.3">
      <c r="B12" s="12"/>
      <c r="C12" s="48"/>
      <c r="D12" s="3">
        <v>0</v>
      </c>
      <c r="E12" s="3">
        <v>0</v>
      </c>
      <c r="F12" s="3">
        <v>0</v>
      </c>
      <c r="G12" s="119">
        <v>0</v>
      </c>
      <c r="H12" s="103">
        <v>0</v>
      </c>
      <c r="I12" s="24" t="str">
        <f t="shared" si="2"/>
        <v>n/a</v>
      </c>
      <c r="J12" s="24" t="str">
        <f t="shared" si="3"/>
        <v>n/a</v>
      </c>
      <c r="K12" s="24" t="str">
        <f>IFERROR(H12/G12,"n/a")</f>
        <v>n/a</v>
      </c>
      <c r="L12" s="504"/>
    </row>
    <row r="13" spans="2:12" x14ac:dyDescent="0.3">
      <c r="B13" s="12"/>
      <c r="C13" s="48"/>
      <c r="D13" s="2">
        <v>0</v>
      </c>
      <c r="E13" s="10">
        <v>0</v>
      </c>
      <c r="F13" s="10">
        <v>0</v>
      </c>
      <c r="G13" s="119">
        <v>0</v>
      </c>
      <c r="H13" s="118">
        <v>0</v>
      </c>
      <c r="I13" s="24" t="str">
        <f t="shared" si="2"/>
        <v>n/a</v>
      </c>
      <c r="J13" s="24" t="str">
        <f t="shared" si="3"/>
        <v>n/a</v>
      </c>
      <c r="K13" s="24" t="str">
        <f>IFERROR(H13/G13,"n/a")</f>
        <v>n/a</v>
      </c>
      <c r="L13" s="504"/>
    </row>
    <row r="14" spans="2:12" x14ac:dyDescent="0.3">
      <c r="B14" s="74">
        <v>4351</v>
      </c>
      <c r="C14" s="75" t="s">
        <v>82</v>
      </c>
      <c r="D14" s="408">
        <f>SUM(D10:D13)</f>
        <v>0</v>
      </c>
      <c r="E14" s="408">
        <v>0</v>
      </c>
      <c r="F14" s="408">
        <v>0</v>
      </c>
      <c r="G14" s="434">
        <f>SUM(G10:G13)</f>
        <v>0</v>
      </c>
      <c r="H14" s="401">
        <v>0</v>
      </c>
      <c r="I14" s="410" t="str">
        <f t="shared" si="2"/>
        <v>n/a</v>
      </c>
      <c r="J14" s="410" t="str">
        <f t="shared" si="3"/>
        <v>n/a</v>
      </c>
      <c r="K14" s="410" t="str">
        <f>IFERROR(H14/G14,"n/a")</f>
        <v>n/a</v>
      </c>
      <c r="L14" s="529"/>
    </row>
    <row r="15" spans="2:12" x14ac:dyDescent="0.3">
      <c r="B15" s="12"/>
      <c r="C15" s="48"/>
      <c r="D15" s="2"/>
      <c r="E15" s="3"/>
      <c r="F15" s="3"/>
      <c r="G15" s="119"/>
      <c r="H15" s="118"/>
      <c r="I15" s="24"/>
      <c r="J15" s="24"/>
      <c r="K15" s="24"/>
      <c r="L15" s="506"/>
    </row>
    <row r="16" spans="2:12" ht="27" x14ac:dyDescent="0.3">
      <c r="B16" s="40">
        <v>4352</v>
      </c>
      <c r="C16" s="72" t="s">
        <v>83</v>
      </c>
      <c r="D16" s="407">
        <v>13</v>
      </c>
      <c r="E16" s="407">
        <v>0</v>
      </c>
      <c r="F16" s="407">
        <v>0</v>
      </c>
      <c r="G16" s="433">
        <v>0</v>
      </c>
      <c r="H16" s="409">
        <v>400</v>
      </c>
      <c r="I16" s="395" t="str">
        <f t="shared" si="2"/>
        <v>n/a</v>
      </c>
      <c r="J16" s="395" t="str">
        <f t="shared" si="3"/>
        <v>n/a</v>
      </c>
      <c r="K16" s="395" t="str">
        <f>IFERROR(H16/G16,"n/a")</f>
        <v>n/a</v>
      </c>
      <c r="L16" s="510" t="s">
        <v>270</v>
      </c>
    </row>
    <row r="17" spans="2:12" x14ac:dyDescent="0.3">
      <c r="B17" s="12"/>
      <c r="C17" s="48"/>
      <c r="D17" s="3"/>
      <c r="E17" s="3"/>
      <c r="F17" s="3"/>
      <c r="G17" s="119"/>
      <c r="H17" s="118"/>
      <c r="I17" s="24"/>
      <c r="J17" s="24"/>
      <c r="K17" s="24"/>
      <c r="L17" s="530"/>
    </row>
    <row r="18" spans="2:12" x14ac:dyDescent="0.3">
      <c r="B18" s="12">
        <v>4355</v>
      </c>
      <c r="C18" s="48" t="s">
        <v>155</v>
      </c>
      <c r="D18" s="3">
        <v>0</v>
      </c>
      <c r="E18" s="10">
        <v>500</v>
      </c>
      <c r="F18" s="10">
        <v>0</v>
      </c>
      <c r="G18" s="119">
        <v>500</v>
      </c>
      <c r="H18" s="118">
        <v>4000</v>
      </c>
      <c r="I18" s="24">
        <f t="shared" si="2"/>
        <v>1</v>
      </c>
      <c r="J18" s="24">
        <f t="shared" si="3"/>
        <v>8</v>
      </c>
      <c r="K18" s="24">
        <f t="shared" ref="K18:K28" si="4">IFERROR(H18/G18,"n/a")</f>
        <v>8</v>
      </c>
      <c r="L18" s="502" t="s">
        <v>213</v>
      </c>
    </row>
    <row r="19" spans="2:12" x14ac:dyDescent="0.3">
      <c r="B19" s="12">
        <v>4354</v>
      </c>
      <c r="C19" s="48" t="s">
        <v>154</v>
      </c>
      <c r="D19" s="3">
        <v>0</v>
      </c>
      <c r="E19" s="10">
        <v>1750</v>
      </c>
      <c r="F19" s="10">
        <v>180</v>
      </c>
      <c r="G19" s="119">
        <v>180</v>
      </c>
      <c r="H19" s="118">
        <v>0</v>
      </c>
      <c r="I19" s="24">
        <f t="shared" si="2"/>
        <v>0.10285714285714286</v>
      </c>
      <c r="J19" s="24">
        <f t="shared" si="3"/>
        <v>0</v>
      </c>
      <c r="K19" s="24">
        <f t="shared" si="4"/>
        <v>0</v>
      </c>
      <c r="L19" s="510"/>
    </row>
    <row r="20" spans="2:12" x14ac:dyDescent="0.3">
      <c r="B20" s="12"/>
      <c r="C20" s="61"/>
      <c r="D20" s="3">
        <v>0</v>
      </c>
      <c r="E20" s="10">
        <v>0</v>
      </c>
      <c r="F20" s="10">
        <v>0</v>
      </c>
      <c r="G20" s="119">
        <v>0</v>
      </c>
      <c r="H20" s="118">
        <v>0</v>
      </c>
      <c r="I20" s="24" t="str">
        <f t="shared" si="2"/>
        <v>n/a</v>
      </c>
      <c r="J20" s="24" t="str">
        <f t="shared" si="3"/>
        <v>n/a</v>
      </c>
      <c r="K20" s="24" t="str">
        <f t="shared" si="4"/>
        <v>n/a</v>
      </c>
      <c r="L20" s="506"/>
    </row>
    <row r="21" spans="2:12" x14ac:dyDescent="0.3">
      <c r="B21" s="12"/>
      <c r="C21" s="61"/>
      <c r="D21" s="3">
        <v>0</v>
      </c>
      <c r="E21" s="82">
        <v>0</v>
      </c>
      <c r="F21" s="82">
        <v>0</v>
      </c>
      <c r="G21" s="119"/>
      <c r="H21" s="118">
        <v>0</v>
      </c>
      <c r="I21" s="24" t="str">
        <f t="shared" si="2"/>
        <v>n/a</v>
      </c>
      <c r="J21" s="24" t="str">
        <f t="shared" si="3"/>
        <v>n/a</v>
      </c>
      <c r="K21" s="24" t="str">
        <f t="shared" si="4"/>
        <v>n/a</v>
      </c>
      <c r="L21" s="506"/>
    </row>
    <row r="22" spans="2:12" x14ac:dyDescent="0.3">
      <c r="B22" s="12"/>
      <c r="C22" s="61"/>
      <c r="D22" s="3"/>
      <c r="E22" s="10"/>
      <c r="F22" s="10"/>
      <c r="G22" s="119">
        <v>0</v>
      </c>
      <c r="H22" s="118">
        <v>0</v>
      </c>
      <c r="I22" s="24" t="str">
        <f t="shared" si="2"/>
        <v>n/a</v>
      </c>
      <c r="J22" s="24" t="str">
        <f t="shared" si="3"/>
        <v>n/a</v>
      </c>
      <c r="K22" s="24" t="str">
        <f t="shared" si="4"/>
        <v>n/a</v>
      </c>
      <c r="L22" s="506"/>
    </row>
    <row r="23" spans="2:12" x14ac:dyDescent="0.3">
      <c r="B23" s="74">
        <v>4353</v>
      </c>
      <c r="C23" s="75" t="s">
        <v>84</v>
      </c>
      <c r="D23" s="408">
        <f>SUM(D18:D22)</f>
        <v>0</v>
      </c>
      <c r="E23" s="408">
        <f>SUM(E18:E22)</f>
        <v>2250</v>
      </c>
      <c r="F23" s="408">
        <f>SUM(F18:F22)</f>
        <v>180</v>
      </c>
      <c r="G23" s="434">
        <f>SUM(G18:G22)</f>
        <v>680</v>
      </c>
      <c r="H23" s="401">
        <f>SUM(H18:H22)</f>
        <v>4000</v>
      </c>
      <c r="I23" s="410">
        <f t="shared" si="2"/>
        <v>0.30222222222222223</v>
      </c>
      <c r="J23" s="410">
        <f t="shared" si="3"/>
        <v>1.7777777777777777</v>
      </c>
      <c r="K23" s="410">
        <f t="shared" si="4"/>
        <v>5.882352941176471</v>
      </c>
      <c r="L23" s="529"/>
    </row>
    <row r="24" spans="2:12" x14ac:dyDescent="0.3">
      <c r="B24" s="12"/>
      <c r="C24" s="48"/>
      <c r="D24" s="3"/>
      <c r="E24" s="3"/>
      <c r="F24" s="3"/>
      <c r="G24" s="119"/>
      <c r="H24" s="118"/>
      <c r="I24" s="24"/>
      <c r="J24" s="24"/>
      <c r="K24" s="24"/>
      <c r="L24" s="506"/>
    </row>
    <row r="25" spans="2:12" x14ac:dyDescent="0.3">
      <c r="B25" s="40"/>
      <c r="C25" s="76"/>
      <c r="D25" s="407"/>
      <c r="E25" s="407"/>
      <c r="F25" s="407"/>
      <c r="G25" s="433"/>
      <c r="H25" s="409"/>
      <c r="I25" s="395"/>
      <c r="J25" s="395"/>
      <c r="K25" s="395"/>
      <c r="L25" s="503"/>
    </row>
    <row r="26" spans="2:12" x14ac:dyDescent="0.3">
      <c r="B26" s="40">
        <v>4375</v>
      </c>
      <c r="C26" s="76" t="s">
        <v>85</v>
      </c>
      <c r="D26" s="407">
        <v>0</v>
      </c>
      <c r="E26" s="407">
        <v>1150</v>
      </c>
      <c r="F26" s="407">
        <v>0</v>
      </c>
      <c r="G26" s="433">
        <v>600</v>
      </c>
      <c r="H26" s="409">
        <v>500</v>
      </c>
      <c r="I26" s="395">
        <f t="shared" si="2"/>
        <v>0.52173913043478259</v>
      </c>
      <c r="J26" s="395">
        <f t="shared" si="3"/>
        <v>0.43478260869565216</v>
      </c>
      <c r="K26" s="395">
        <f t="shared" si="4"/>
        <v>0.83333333333333337</v>
      </c>
      <c r="L26" s="505" t="s">
        <v>271</v>
      </c>
    </row>
    <row r="27" spans="2:12" x14ac:dyDescent="0.3">
      <c r="B27" s="21"/>
      <c r="C27" s="48"/>
      <c r="D27" s="3"/>
      <c r="E27" s="3"/>
      <c r="F27" s="3"/>
      <c r="G27" s="119"/>
      <c r="H27" s="118"/>
      <c r="I27" s="24" t="str">
        <f t="shared" si="2"/>
        <v>n/a</v>
      </c>
      <c r="J27" s="24" t="str">
        <f t="shared" si="3"/>
        <v>n/a</v>
      </c>
      <c r="K27" s="411" t="str">
        <f t="shared" si="4"/>
        <v>n/a</v>
      </c>
      <c r="L27" s="506"/>
    </row>
    <row r="28" spans="2:12" ht="31.8" thickBot="1" x14ac:dyDescent="0.35">
      <c r="B28" s="22"/>
      <c r="C28" s="62" t="s">
        <v>108</v>
      </c>
      <c r="D28" s="18">
        <f>+D26+D23+D16+D14+D8+D6</f>
        <v>3913</v>
      </c>
      <c r="E28" s="18">
        <f>+E26+E23+E16+E14+E8+E6</f>
        <v>15400</v>
      </c>
      <c r="F28" s="18">
        <f>+F26+F23+F16+F14+F8+F6</f>
        <v>-1040</v>
      </c>
      <c r="G28" s="443">
        <f>+G26+G23+G16+G14+G8+G6</f>
        <v>2280</v>
      </c>
      <c r="H28" s="404">
        <f>+H26+H23+H16+H14+H8+H6</f>
        <v>6650</v>
      </c>
      <c r="I28" s="25">
        <f t="shared" si="2"/>
        <v>0.14805194805194805</v>
      </c>
      <c r="J28" s="25">
        <f t="shared" si="3"/>
        <v>0.43181818181818182</v>
      </c>
      <c r="K28" s="412">
        <f t="shared" si="4"/>
        <v>2.9166666666666665</v>
      </c>
      <c r="L28" s="531"/>
    </row>
    <row r="29" spans="2:12" ht="15.6" customHeight="1" x14ac:dyDescent="0.3">
      <c r="B29" s="281"/>
      <c r="C29" s="49"/>
      <c r="D29" s="16"/>
      <c r="E29" s="82"/>
      <c r="F29" s="82"/>
      <c r="G29" s="436"/>
      <c r="H29" s="118"/>
      <c r="I29" s="96"/>
      <c r="J29" s="96"/>
      <c r="K29" s="96"/>
      <c r="L29" s="502"/>
    </row>
    <row r="30" spans="2:12" s="175" customFormat="1" ht="41.4" customHeight="1" x14ac:dyDescent="0.3">
      <c r="B30" s="281">
        <v>4352</v>
      </c>
      <c r="C30" s="49" t="s">
        <v>116</v>
      </c>
      <c r="D30" s="16">
        <v>0</v>
      </c>
      <c r="E30" s="82">
        <v>0</v>
      </c>
      <c r="F30" s="82">
        <v>0</v>
      </c>
      <c r="G30" s="436">
        <v>340</v>
      </c>
      <c r="H30" s="118">
        <v>0</v>
      </c>
      <c r="I30" s="96" t="str">
        <f>IFERROR(G30/E30,"n/a")</f>
        <v>n/a</v>
      </c>
      <c r="J30" s="96" t="str">
        <f>IFERROR(H30/E30,"n/a")</f>
        <v>n/a</v>
      </c>
      <c r="K30" s="96">
        <f>IFERROR(H30/G30,"n/a")</f>
        <v>0</v>
      </c>
      <c r="L30" s="510" t="s">
        <v>281</v>
      </c>
    </row>
    <row r="31" spans="2:12" ht="15.6" customHeight="1" x14ac:dyDescent="0.3">
      <c r="B31" s="281"/>
      <c r="C31" s="49"/>
      <c r="D31" s="16"/>
      <c r="E31" s="82"/>
      <c r="F31" s="82"/>
      <c r="G31" s="436"/>
      <c r="H31" s="118"/>
      <c r="I31" s="96"/>
      <c r="J31" s="96"/>
      <c r="K31" s="96"/>
      <c r="L31" s="502"/>
    </row>
    <row r="32" spans="2:12" s="175" customFormat="1" ht="27.6" customHeight="1" x14ac:dyDescent="0.3">
      <c r="B32" s="544" t="s">
        <v>173</v>
      </c>
      <c r="C32" s="545" t="s">
        <v>199</v>
      </c>
      <c r="D32" s="176">
        <v>0</v>
      </c>
      <c r="E32" s="233">
        <v>0</v>
      </c>
      <c r="F32" s="233">
        <v>0</v>
      </c>
      <c r="G32" s="414">
        <v>7727</v>
      </c>
      <c r="H32" s="233">
        <v>0</v>
      </c>
      <c r="I32" s="177" t="str">
        <f>IFERROR(G32/E32,"n/a")</f>
        <v>n/a</v>
      </c>
      <c r="J32" s="177" t="str">
        <f>IFERROR(H32/E32,"n/a")</f>
        <v>n/a</v>
      </c>
      <c r="K32" s="177">
        <f>IFERROR(H32/G32,"n/a")</f>
        <v>0</v>
      </c>
      <c r="L32" s="513" t="s">
        <v>272</v>
      </c>
    </row>
    <row r="33" spans="2:12" x14ac:dyDescent="0.3">
      <c r="B33" s="290"/>
      <c r="C33" s="135"/>
      <c r="D33" s="16"/>
      <c r="E33" s="82"/>
      <c r="F33" s="82"/>
      <c r="G33" s="436"/>
      <c r="H33" s="118"/>
      <c r="I33" s="96"/>
      <c r="J33" s="96"/>
      <c r="K33" s="96"/>
      <c r="L33" s="502"/>
    </row>
    <row r="34" spans="2:12" x14ac:dyDescent="0.3">
      <c r="B34" s="284"/>
      <c r="C34" s="285" t="s">
        <v>95</v>
      </c>
      <c r="D34" s="286">
        <f>SUM(D29:D33)</f>
        <v>0</v>
      </c>
      <c r="E34" s="278">
        <f>SUM(E29:E33)</f>
        <v>0</v>
      </c>
      <c r="F34" s="278">
        <f>SUM(F29:F33)</f>
        <v>0</v>
      </c>
      <c r="G34" s="437">
        <f>SUM(G29:G33)</f>
        <v>8067</v>
      </c>
      <c r="H34" s="405">
        <f>SUM(H29:H33)</f>
        <v>0</v>
      </c>
      <c r="I34" s="287" t="str">
        <f t="shared" ref="I34" si="5">IFERROR(G34/E34,"n/a")</f>
        <v>n/a</v>
      </c>
      <c r="J34" s="287" t="str">
        <f t="shared" ref="J34" si="6">IFERROR(H34/E34,"n/a")</f>
        <v>n/a</v>
      </c>
      <c r="K34" s="287">
        <f>IFERROR(H34/G34,"n/a")</f>
        <v>0</v>
      </c>
      <c r="L34" s="532"/>
    </row>
    <row r="35" spans="2:12" x14ac:dyDescent="0.3">
      <c r="B35" s="291"/>
      <c r="C35" s="135"/>
      <c r="D35" s="16"/>
      <c r="E35" s="82"/>
      <c r="F35" s="82"/>
      <c r="G35" s="436"/>
      <c r="H35" s="118"/>
      <c r="I35" s="96"/>
      <c r="J35" s="399"/>
      <c r="K35" s="399"/>
      <c r="L35" s="502"/>
    </row>
    <row r="36" spans="2:12" ht="31.8" thickBot="1" x14ac:dyDescent="0.35">
      <c r="B36" s="288"/>
      <c r="C36" s="58" t="s">
        <v>107</v>
      </c>
      <c r="D36" s="18">
        <f>D28+D34</f>
        <v>3913</v>
      </c>
      <c r="E36" s="18">
        <f>E28+E34</f>
        <v>15400</v>
      </c>
      <c r="F36" s="18">
        <f>F28+F34</f>
        <v>-1040</v>
      </c>
      <c r="G36" s="438">
        <f>G28+G34</f>
        <v>10347</v>
      </c>
      <c r="H36" s="406">
        <f>H28+H34</f>
        <v>6650</v>
      </c>
      <c r="I36" s="131">
        <f>IFERROR(G36/E36,"n/a")</f>
        <v>0.67188311688311686</v>
      </c>
      <c r="J36" s="131">
        <f>IFERROR(H36/E36,"n/a")</f>
        <v>0.43181818181818182</v>
      </c>
      <c r="K36" s="131">
        <f>IFERROR(H36/G36,"n/a")</f>
        <v>0.64269836667633129</v>
      </c>
      <c r="L36" s="533"/>
    </row>
    <row r="37" spans="2:12" x14ac:dyDescent="0.3">
      <c r="C37" s="61"/>
      <c r="L37" s="61"/>
    </row>
    <row r="38" spans="2:12" x14ac:dyDescent="0.3">
      <c r="L38" s="61"/>
    </row>
    <row r="39" spans="2:12" x14ac:dyDescent="0.3">
      <c r="L39" s="61"/>
    </row>
    <row r="40" spans="2:12" x14ac:dyDescent="0.3">
      <c r="L40" s="61"/>
    </row>
    <row r="41" spans="2:12" x14ac:dyDescent="0.3">
      <c r="L41" s="61"/>
    </row>
    <row r="42" spans="2:12" x14ac:dyDescent="0.3">
      <c r="L42" s="61"/>
    </row>
    <row r="43" spans="2:12" x14ac:dyDescent="0.3">
      <c r="L43" s="61"/>
    </row>
    <row r="44" spans="2:12" x14ac:dyDescent="0.3">
      <c r="L44" s="61"/>
    </row>
    <row r="45" spans="2:12" x14ac:dyDescent="0.3">
      <c r="L45" s="61"/>
    </row>
  </sheetData>
  <phoneticPr fontId="13" type="noConversion"/>
  <pageMargins left="0.75000000000000011" right="0.75000000000000011" top="1" bottom="1" header="0.5" footer="0.5"/>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18"/>
  <sheetViews>
    <sheetView topLeftCell="C3" workbookViewId="0">
      <selection activeCell="L8" sqref="L8"/>
    </sheetView>
  </sheetViews>
  <sheetFormatPr defaultColWidth="11.19921875" defaultRowHeight="15.6" x14ac:dyDescent="0.3"/>
  <cols>
    <col min="1" max="1" width="4.5" customWidth="1"/>
    <col min="2" max="2" width="10.69921875" customWidth="1"/>
    <col min="3" max="3" width="35" customWidth="1"/>
    <col min="4" max="11" width="13.5" customWidth="1"/>
    <col min="12" max="12" width="61.5" customWidth="1"/>
  </cols>
  <sheetData>
    <row r="1" spans="2:12" ht="16.2" thickBot="1" x14ac:dyDescent="0.35"/>
    <row r="2" spans="2:12" ht="21" x14ac:dyDescent="0.3">
      <c r="B2" s="305" t="s">
        <v>175</v>
      </c>
      <c r="C2" s="340"/>
      <c r="D2" s="306"/>
      <c r="E2" s="341"/>
      <c r="F2" s="341"/>
      <c r="G2" s="342"/>
      <c r="H2" s="343"/>
      <c r="I2" s="343"/>
      <c r="J2" s="343"/>
      <c r="K2" s="343"/>
      <c r="L2" s="344"/>
    </row>
    <row r="3" spans="2:12" ht="21" x14ac:dyDescent="0.3">
      <c r="B3" s="345" t="s">
        <v>86</v>
      </c>
      <c r="C3" s="346"/>
      <c r="D3" s="312"/>
      <c r="E3" s="313"/>
      <c r="F3" s="313"/>
      <c r="G3" s="314"/>
      <c r="H3" s="347"/>
      <c r="I3" s="348"/>
      <c r="J3" s="348"/>
      <c r="K3" s="348"/>
      <c r="L3" s="349"/>
    </row>
    <row r="4" spans="2:12" ht="63" thickBot="1" x14ac:dyDescent="0.35">
      <c r="B4" s="336" t="s">
        <v>29</v>
      </c>
      <c r="C4" s="337" t="s">
        <v>30</v>
      </c>
      <c r="D4" s="320" t="s">
        <v>177</v>
      </c>
      <c r="E4" s="320" t="s">
        <v>153</v>
      </c>
      <c r="F4" s="320" t="s">
        <v>178</v>
      </c>
      <c r="G4" s="338" t="s">
        <v>179</v>
      </c>
      <c r="H4" s="338" t="s">
        <v>180</v>
      </c>
      <c r="I4" s="321" t="s">
        <v>181</v>
      </c>
      <c r="J4" s="320" t="s">
        <v>182</v>
      </c>
      <c r="K4" s="320" t="s">
        <v>183</v>
      </c>
      <c r="L4" s="339" t="s">
        <v>186</v>
      </c>
    </row>
    <row r="5" spans="2:12" x14ac:dyDescent="0.3">
      <c r="B5" s="9"/>
      <c r="C5" s="63"/>
      <c r="D5" s="360"/>
      <c r="E5" s="380"/>
      <c r="F5" s="3"/>
      <c r="G5" s="436"/>
      <c r="H5" s="361"/>
      <c r="I5" s="381"/>
      <c r="J5" s="381"/>
      <c r="K5" s="381"/>
      <c r="L5" s="506"/>
    </row>
    <row r="6" spans="2:12" s="175" customFormat="1" x14ac:dyDescent="0.3">
      <c r="B6" s="178">
        <v>4807</v>
      </c>
      <c r="C6" s="179" t="s">
        <v>103</v>
      </c>
      <c r="D6" s="413">
        <v>0</v>
      </c>
      <c r="E6" s="414">
        <v>0</v>
      </c>
      <c r="F6" s="414">
        <v>0</v>
      </c>
      <c r="G6" s="442">
        <v>0</v>
      </c>
      <c r="H6" s="403">
        <v>0</v>
      </c>
      <c r="I6" s="415" t="str">
        <f>IFERROR(G6/E6,"n/a")</f>
        <v>n/a</v>
      </c>
      <c r="J6" s="415" t="str">
        <f>IFERROR(H6/E6,"n/a")</f>
        <v>n/a</v>
      </c>
      <c r="K6" s="415" t="str">
        <f>IFERROR(H6/G6,"n/a")</f>
        <v>n/a</v>
      </c>
      <c r="L6" s="508" t="s">
        <v>228</v>
      </c>
    </row>
    <row r="7" spans="2:12" s="175" customFormat="1" x14ac:dyDescent="0.3">
      <c r="B7" s="178"/>
      <c r="C7" s="179"/>
      <c r="D7" s="413"/>
      <c r="E7" s="414"/>
      <c r="F7" s="414"/>
      <c r="G7" s="442"/>
      <c r="H7" s="403"/>
      <c r="I7" s="415"/>
      <c r="J7" s="415"/>
      <c r="K7" s="415"/>
      <c r="L7" s="508"/>
    </row>
    <row r="8" spans="2:12" ht="33" customHeight="1" x14ac:dyDescent="0.3">
      <c r="B8" s="281" t="s">
        <v>173</v>
      </c>
      <c r="C8" s="294" t="s">
        <v>283</v>
      </c>
      <c r="D8" s="16">
        <v>0</v>
      </c>
      <c r="E8" s="82">
        <v>0</v>
      </c>
      <c r="F8" s="82">
        <v>0</v>
      </c>
      <c r="G8" s="436">
        <v>0</v>
      </c>
      <c r="H8" s="118">
        <v>10000</v>
      </c>
      <c r="I8" s="96" t="str">
        <f>IFERROR(G8/E8,"n/a")</f>
        <v>n/a</v>
      </c>
      <c r="J8" s="96" t="str">
        <f>IFERROR(H8/E8,"n/a")</f>
        <v>n/a</v>
      </c>
      <c r="K8" s="96" t="str">
        <f>IFERROR(H8/G8,"n/a")</f>
        <v>n/a</v>
      </c>
      <c r="L8" s="510" t="s">
        <v>284</v>
      </c>
    </row>
    <row r="9" spans="2:12" x14ac:dyDescent="0.3">
      <c r="B9" s="33"/>
      <c r="C9" s="48"/>
      <c r="D9" s="1"/>
      <c r="E9" s="1"/>
      <c r="F9" s="1"/>
      <c r="G9" s="436"/>
      <c r="H9" s="103"/>
      <c r="I9" s="123"/>
      <c r="J9" s="123"/>
      <c r="K9" s="126"/>
      <c r="L9" s="506"/>
    </row>
    <row r="10" spans="2:12" ht="28.95" customHeight="1" thickBot="1" x14ac:dyDescent="0.35">
      <c r="B10" s="23"/>
      <c r="C10" s="51" t="s">
        <v>109</v>
      </c>
      <c r="D10" s="18">
        <f>SUM(D6:D9)</f>
        <v>0</v>
      </c>
      <c r="E10" s="18">
        <f>SUM(E6:E9)</f>
        <v>0</v>
      </c>
      <c r="F10" s="18">
        <f>SUM(F6:F9)</f>
        <v>0</v>
      </c>
      <c r="G10" s="438">
        <f>SUM(G6:G9)</f>
        <v>0</v>
      </c>
      <c r="H10" s="404">
        <f>SUM(H6:H9)</f>
        <v>10000</v>
      </c>
      <c r="I10" s="416" t="str">
        <f>IFERROR(G10/E10,"n/a")</f>
        <v>n/a</v>
      </c>
      <c r="J10" s="416" t="str">
        <f>IFERROR(H10/E10,"n/a")</f>
        <v>n/a</v>
      </c>
      <c r="K10" s="417" t="str">
        <f>IFERROR(H10/G10,"n/a")</f>
        <v>n/a</v>
      </c>
      <c r="L10" s="539"/>
    </row>
    <row r="11" spans="2:12" ht="16.95" customHeight="1" x14ac:dyDescent="0.3">
      <c r="B11" s="281"/>
      <c r="C11" s="49"/>
      <c r="D11" s="16"/>
      <c r="E11" s="82"/>
      <c r="F11" s="82"/>
      <c r="G11" s="436"/>
      <c r="H11" s="118"/>
      <c r="I11" s="96"/>
      <c r="J11" s="96"/>
      <c r="K11" s="96"/>
      <c r="L11" s="502"/>
    </row>
    <row r="12" spans="2:12" ht="18.600000000000001" customHeight="1" x14ac:dyDescent="0.3">
      <c r="B12" s="281">
        <v>4807</v>
      </c>
      <c r="C12" s="294" t="s">
        <v>123</v>
      </c>
      <c r="D12" s="16">
        <v>0</v>
      </c>
      <c r="E12" s="82">
        <v>0</v>
      </c>
      <c r="F12" s="82">
        <v>17</v>
      </c>
      <c r="G12" s="436">
        <v>0</v>
      </c>
      <c r="H12" s="118">
        <v>0</v>
      </c>
      <c r="I12" s="96" t="str">
        <f>IFERROR(G12/E12,"n/a")</f>
        <v>n/a</v>
      </c>
      <c r="J12" s="96" t="str">
        <f>IFERROR(H12/E12,"n/a")</f>
        <v>n/a</v>
      </c>
      <c r="K12" s="96" t="str">
        <f>IFERROR(H12/G12,"n/a")</f>
        <v>n/a</v>
      </c>
      <c r="L12" s="510" t="s">
        <v>273</v>
      </c>
    </row>
    <row r="13" spans="2:12" ht="16.95" customHeight="1" x14ac:dyDescent="0.3">
      <c r="B13" s="281"/>
      <c r="C13" s="294"/>
      <c r="D13" s="16"/>
      <c r="E13" s="82"/>
      <c r="F13" s="82"/>
      <c r="G13" s="436"/>
      <c r="H13" s="118"/>
      <c r="I13" s="96"/>
      <c r="J13" s="96"/>
      <c r="K13" s="96"/>
      <c r="L13" s="502"/>
    </row>
    <row r="14" spans="2:12" ht="32.4" customHeight="1" x14ac:dyDescent="0.3">
      <c r="B14" s="281">
        <v>4808</v>
      </c>
      <c r="C14" s="294" t="s">
        <v>168</v>
      </c>
      <c r="D14" s="16">
        <v>5638</v>
      </c>
      <c r="E14" s="82">
        <v>0</v>
      </c>
      <c r="F14" s="82">
        <v>5500</v>
      </c>
      <c r="G14" s="436">
        <v>34734</v>
      </c>
      <c r="H14" s="118">
        <v>102205</v>
      </c>
      <c r="I14" s="96" t="str">
        <f>IFERROR(G14/E14,"n/a")</f>
        <v>n/a</v>
      </c>
      <c r="J14" s="96" t="str">
        <f>IFERROR(H14/E14,"n/a")</f>
        <v>n/a</v>
      </c>
      <c r="K14" s="96">
        <f>IFERROR(H14/G14,"n/a")</f>
        <v>2.9425059019980422</v>
      </c>
      <c r="L14" s="510" t="s">
        <v>274</v>
      </c>
    </row>
    <row r="15" spans="2:12" ht="16.95" customHeight="1" x14ac:dyDescent="0.3">
      <c r="B15" s="281"/>
      <c r="C15" s="49"/>
      <c r="D15" s="16"/>
      <c r="E15" s="82"/>
      <c r="F15" s="82"/>
      <c r="G15" s="436"/>
      <c r="H15" s="118"/>
      <c r="I15" s="96"/>
      <c r="J15" s="96"/>
      <c r="K15" s="96"/>
      <c r="L15" s="502"/>
    </row>
    <row r="16" spans="2:12" x14ac:dyDescent="0.3">
      <c r="B16" s="284"/>
      <c r="C16" s="285" t="s">
        <v>95</v>
      </c>
      <c r="D16" s="286">
        <f>SUM(D11:D15)</f>
        <v>5638</v>
      </c>
      <c r="E16" s="278">
        <f>SUM(E11:E15)</f>
        <v>0</v>
      </c>
      <c r="F16" s="278">
        <f>SUM(F11:F15)</f>
        <v>5517</v>
      </c>
      <c r="G16" s="437">
        <f>SUM(G11:G15)</f>
        <v>34734</v>
      </c>
      <c r="H16" s="405">
        <f>SUM(H11:H15)</f>
        <v>102205</v>
      </c>
      <c r="I16" s="287" t="str">
        <f t="shared" ref="I16" si="0">IFERROR(G16/E16,"n/a")</f>
        <v>n/a</v>
      </c>
      <c r="J16" s="287" t="str">
        <f t="shared" ref="J16" si="1">IFERROR(H16/E16,"n/a")</f>
        <v>n/a</v>
      </c>
      <c r="K16" s="287">
        <f>IFERROR(H16/G16,"n/a")</f>
        <v>2.9425059019980422</v>
      </c>
      <c r="L16" s="532"/>
    </row>
    <row r="17" spans="2:12" x14ac:dyDescent="0.3">
      <c r="B17" s="291"/>
      <c r="C17" s="135"/>
      <c r="D17" s="16"/>
      <c r="E17" s="82"/>
      <c r="F17" s="82"/>
      <c r="G17" s="436"/>
      <c r="H17" s="118"/>
      <c r="I17" s="96"/>
      <c r="J17" s="399"/>
      <c r="K17" s="399"/>
      <c r="L17" s="502"/>
    </row>
    <row r="18" spans="2:12" ht="16.2" thickBot="1" x14ac:dyDescent="0.35">
      <c r="B18" s="288"/>
      <c r="C18" s="58" t="s">
        <v>110</v>
      </c>
      <c r="D18" s="18">
        <f>D10+D16</f>
        <v>5638</v>
      </c>
      <c r="E18" s="18">
        <f>E10+E16</f>
        <v>0</v>
      </c>
      <c r="F18" s="18">
        <f>F10+F16</f>
        <v>5517</v>
      </c>
      <c r="G18" s="438">
        <f>G10+G16</f>
        <v>34734</v>
      </c>
      <c r="H18" s="406">
        <f>H10+H16</f>
        <v>112205</v>
      </c>
      <c r="I18" s="131" t="str">
        <f>IFERROR(G18/E18,"n/a")</f>
        <v>n/a</v>
      </c>
      <c r="J18" s="131" t="str">
        <f>IFERROR(H18/E18,"n/a")</f>
        <v>n/a</v>
      </c>
      <c r="K18" s="131">
        <f>IFERROR(H18/G18,"n/a")</f>
        <v>3.2304082455231184</v>
      </c>
      <c r="L18" s="533"/>
    </row>
  </sheetData>
  <phoneticPr fontId="13" type="noConversion"/>
  <pageMargins left="0.75000000000000011" right="0.75000000000000011" top="1" bottom="1" header="0.5" footer="0.5"/>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B923-609F-4677-914D-59FD6CAD4964}">
  <dimension ref="A2:N31"/>
  <sheetViews>
    <sheetView tabSelected="1" topLeftCell="A12" workbookViewId="0">
      <selection activeCell="J20" sqref="J20"/>
    </sheetView>
  </sheetViews>
  <sheetFormatPr defaultRowHeight="15.6" x14ac:dyDescent="0.3"/>
  <cols>
    <col min="1" max="1" width="11.19921875" customWidth="1"/>
    <col min="2" max="2" width="11.69921875" customWidth="1"/>
    <col min="3" max="3" width="12.8984375" customWidth="1"/>
    <col min="4" max="4" width="12.69921875" customWidth="1"/>
    <col min="5" max="5" width="10.8984375" customWidth="1"/>
    <col min="6" max="6" width="11.5" customWidth="1"/>
    <col min="7" max="7" width="11" customWidth="1"/>
    <col min="8" max="8" width="13.69921875" customWidth="1"/>
    <col min="9" max="10" width="11" customWidth="1"/>
    <col min="11" max="11" width="10.19921875" customWidth="1"/>
    <col min="12" max="12" width="12.19921875" customWidth="1"/>
    <col min="13" max="13" width="12.5" customWidth="1"/>
    <col min="14" max="14" width="12.09765625" customWidth="1"/>
  </cols>
  <sheetData>
    <row r="2" spans="1:14" ht="21" x14ac:dyDescent="0.3">
      <c r="A2" s="184" t="s">
        <v>166</v>
      </c>
      <c r="B2" s="143"/>
      <c r="C2" s="143"/>
      <c r="D2" s="143"/>
      <c r="E2" s="143"/>
      <c r="F2" s="143"/>
      <c r="G2" s="143"/>
      <c r="H2" s="143"/>
      <c r="I2" s="143"/>
      <c r="J2" s="143"/>
    </row>
    <row r="3" spans="1:14" ht="21.6" thickBot="1" x14ac:dyDescent="0.35">
      <c r="A3" s="143"/>
      <c r="B3" s="143"/>
      <c r="C3" s="143"/>
      <c r="D3" s="143"/>
      <c r="E3" s="143"/>
      <c r="F3" s="143"/>
      <c r="G3" s="143"/>
      <c r="H3" s="143"/>
      <c r="I3" s="143"/>
      <c r="J3" s="143"/>
    </row>
    <row r="4" spans="1:14" ht="125.4" thickBot="1" x14ac:dyDescent="0.35">
      <c r="A4" s="216" t="s">
        <v>124</v>
      </c>
      <c r="B4" s="217" t="s">
        <v>137</v>
      </c>
      <c r="C4" s="218" t="s">
        <v>136</v>
      </c>
      <c r="D4" s="219" t="s">
        <v>125</v>
      </c>
      <c r="E4" s="219" t="s">
        <v>126</v>
      </c>
      <c r="F4" s="219" t="s">
        <v>127</v>
      </c>
      <c r="G4" s="220" t="s">
        <v>128</v>
      </c>
      <c r="H4" s="219" t="s">
        <v>129</v>
      </c>
      <c r="I4" s="219" t="s">
        <v>192</v>
      </c>
      <c r="J4" s="427" t="s">
        <v>217</v>
      </c>
      <c r="K4" s="219" t="s">
        <v>130</v>
      </c>
      <c r="L4" s="219" t="s">
        <v>215</v>
      </c>
      <c r="M4" s="217" t="s">
        <v>138</v>
      </c>
      <c r="N4" s="218" t="s">
        <v>289</v>
      </c>
    </row>
    <row r="5" spans="1:14" x14ac:dyDescent="0.3">
      <c r="A5" s="144"/>
      <c r="B5" s="199"/>
      <c r="C5" s="168"/>
      <c r="D5" s="145"/>
      <c r="E5" s="146"/>
      <c r="F5" s="147"/>
      <c r="G5" s="148"/>
      <c r="H5" s="523"/>
      <c r="I5" s="181"/>
      <c r="J5" s="181"/>
      <c r="K5" s="149"/>
      <c r="L5" s="425"/>
      <c r="M5" s="169"/>
      <c r="N5" s="168"/>
    </row>
    <row r="6" spans="1:14" ht="75" customHeight="1" x14ac:dyDescent="0.3">
      <c r="A6" s="151" t="s">
        <v>131</v>
      </c>
      <c r="B6" s="199">
        <v>16889</v>
      </c>
      <c r="C6" s="168"/>
      <c r="D6" s="424">
        <v>55016.480000000003</v>
      </c>
      <c r="E6" s="221">
        <v>45412</v>
      </c>
      <c r="F6" s="472" t="s">
        <v>190</v>
      </c>
      <c r="G6" s="428"/>
      <c r="H6" s="524"/>
      <c r="I6" s="201"/>
      <c r="J6" s="430"/>
      <c r="K6" s="517" t="s">
        <v>200</v>
      </c>
      <c r="L6" s="180">
        <v>3890</v>
      </c>
      <c r="M6" s="208"/>
      <c r="N6" s="168"/>
    </row>
    <row r="7" spans="1:14" ht="42.6" customHeight="1" x14ac:dyDescent="0.3">
      <c r="A7" s="151" t="s">
        <v>162</v>
      </c>
      <c r="B7" s="199">
        <v>17393</v>
      </c>
      <c r="C7" s="168"/>
      <c r="D7" s="146"/>
      <c r="E7" s="202"/>
      <c r="F7" s="182"/>
      <c r="G7" s="200" t="s">
        <v>132</v>
      </c>
      <c r="H7" s="525" t="s">
        <v>218</v>
      </c>
      <c r="I7" s="201">
        <v>40000</v>
      </c>
      <c r="J7" s="430">
        <f>I7-L7</f>
        <v>21260</v>
      </c>
      <c r="K7" s="517" t="s">
        <v>216</v>
      </c>
      <c r="L7" s="300">
        <v>18740</v>
      </c>
      <c r="M7" s="207"/>
      <c r="N7" s="168"/>
    </row>
    <row r="8" spans="1:14" ht="67.95" customHeight="1" thickBot="1" x14ac:dyDescent="0.35">
      <c r="A8" s="151" t="s">
        <v>189</v>
      </c>
      <c r="B8" s="199">
        <v>81915</v>
      </c>
      <c r="C8" s="168"/>
      <c r="D8" s="146">
        <v>34005.699999999997</v>
      </c>
      <c r="E8" s="221">
        <v>45412</v>
      </c>
      <c r="F8" s="514" t="s">
        <v>191</v>
      </c>
      <c r="G8" s="200"/>
      <c r="H8" s="525"/>
      <c r="I8" s="201"/>
      <c r="J8" s="430"/>
      <c r="K8" s="517"/>
      <c r="L8" s="300">
        <v>0</v>
      </c>
      <c r="M8" s="207"/>
      <c r="N8" s="168"/>
    </row>
    <row r="9" spans="1:14" ht="72" customHeight="1" x14ac:dyDescent="0.3">
      <c r="A9" s="470"/>
      <c r="B9" s="199"/>
      <c r="C9" s="168"/>
      <c r="D9" s="146">
        <v>68011.399999999994</v>
      </c>
      <c r="E9" s="221">
        <v>45595</v>
      </c>
      <c r="F9" s="515" t="s">
        <v>202</v>
      </c>
      <c r="G9" s="200"/>
      <c r="H9" s="525"/>
      <c r="I9" s="201"/>
      <c r="J9" s="430"/>
      <c r="K9" s="517"/>
      <c r="L9" s="300"/>
      <c r="M9" s="207"/>
      <c r="N9" s="168"/>
    </row>
    <row r="10" spans="1:14" ht="63.6" customHeight="1" thickBot="1" x14ac:dyDescent="0.35">
      <c r="A10" s="471"/>
      <c r="B10" s="199"/>
      <c r="C10" s="168"/>
      <c r="D10" s="146">
        <v>16261.12</v>
      </c>
      <c r="E10" s="221">
        <v>45595</v>
      </c>
      <c r="F10" s="515" t="s">
        <v>203</v>
      </c>
      <c r="G10" s="200"/>
      <c r="H10" s="525"/>
      <c r="I10" s="201"/>
      <c r="J10" s="430"/>
      <c r="K10" s="517"/>
      <c r="L10" s="300"/>
      <c r="M10" s="207"/>
      <c r="N10" s="168"/>
    </row>
    <row r="11" spans="1:14" x14ac:dyDescent="0.3">
      <c r="B11" s="198"/>
      <c r="C11" s="168"/>
      <c r="D11" s="203"/>
      <c r="E11" s="221"/>
      <c r="F11" s="299"/>
      <c r="G11" s="120"/>
      <c r="H11" s="518"/>
      <c r="I11" s="120"/>
      <c r="J11" s="431"/>
      <c r="K11" s="518"/>
      <c r="L11" s="426"/>
      <c r="M11" s="207"/>
      <c r="N11" s="168"/>
    </row>
    <row r="12" spans="1:14" ht="62.4" x14ac:dyDescent="0.3">
      <c r="A12" s="151"/>
      <c r="B12" s="166"/>
      <c r="C12" s="190"/>
      <c r="D12" s="191" t="s">
        <v>152</v>
      </c>
      <c r="E12" s="152"/>
      <c r="F12" s="183"/>
      <c r="G12" s="429"/>
      <c r="H12" s="524"/>
      <c r="I12" s="201"/>
      <c r="J12" s="430"/>
      <c r="K12" s="519"/>
      <c r="L12" s="180"/>
      <c r="M12" s="170"/>
      <c r="N12" s="168"/>
    </row>
    <row r="13" spans="1:14" x14ac:dyDescent="0.3">
      <c r="A13" s="151"/>
      <c r="B13" s="167">
        <v>0</v>
      </c>
      <c r="C13" s="168"/>
      <c r="D13" s="155"/>
      <c r="E13" s="153"/>
      <c r="F13" s="154"/>
      <c r="G13" s="120"/>
      <c r="H13" s="518"/>
      <c r="I13" s="120"/>
      <c r="J13" s="431"/>
      <c r="K13" s="518"/>
      <c r="L13" s="180"/>
      <c r="M13" s="170"/>
      <c r="N13" s="168"/>
    </row>
    <row r="14" spans="1:14" ht="16.2" thickBot="1" x14ac:dyDescent="0.35">
      <c r="A14" s="223">
        <v>45383</v>
      </c>
      <c r="B14" s="224">
        <f>SUM(B5:B13)</f>
        <v>116197</v>
      </c>
      <c r="C14" s="225">
        <v>0</v>
      </c>
      <c r="D14" s="234">
        <f>SUM(D5:D13)</f>
        <v>173294.69999999998</v>
      </c>
      <c r="E14" s="226"/>
      <c r="F14" s="227"/>
      <c r="G14" s="228"/>
      <c r="H14" s="227"/>
      <c r="I14" s="229">
        <f t="shared" ref="I14:L14" si="0">SUM(I5:I13)</f>
        <v>40000</v>
      </c>
      <c r="J14" s="499">
        <f t="shared" si="0"/>
        <v>21260</v>
      </c>
      <c r="K14" s="229"/>
      <c r="L14" s="458">
        <f t="shared" si="0"/>
        <v>22630</v>
      </c>
      <c r="M14" s="230">
        <f>B14+D14-L14</f>
        <v>266861.69999999995</v>
      </c>
      <c r="N14" s="232">
        <f>B14+D14-J14-L14</f>
        <v>245601.69999999995</v>
      </c>
    </row>
    <row r="15" spans="1:14" x14ac:dyDescent="0.3">
      <c r="A15" s="156"/>
      <c r="B15" s="166"/>
      <c r="C15" s="168"/>
      <c r="D15" s="192" t="s">
        <v>28</v>
      </c>
      <c r="E15" s="146"/>
      <c r="F15" s="157"/>
      <c r="G15" s="147"/>
      <c r="H15" s="523"/>
      <c r="J15" s="243" t="s">
        <v>167</v>
      </c>
      <c r="K15" s="520"/>
      <c r="L15" s="146"/>
      <c r="M15" s="171"/>
      <c r="N15" s="150"/>
    </row>
    <row r="16" spans="1:14" x14ac:dyDescent="0.3">
      <c r="A16" s="158"/>
      <c r="B16" s="166"/>
      <c r="C16" s="168"/>
      <c r="D16" s="185"/>
      <c r="E16" s="186"/>
      <c r="F16" s="187"/>
      <c r="H16" s="521" t="s">
        <v>230</v>
      </c>
      <c r="J16" s="496">
        <v>17500</v>
      </c>
      <c r="K16" s="521"/>
      <c r="M16" s="172"/>
      <c r="N16" s="150"/>
    </row>
    <row r="17" spans="1:14" x14ac:dyDescent="0.3">
      <c r="A17" s="163"/>
      <c r="B17" s="166"/>
      <c r="C17" s="168"/>
      <c r="D17" s="498">
        <v>16261.12</v>
      </c>
      <c r="E17" s="497">
        <v>45748</v>
      </c>
      <c r="F17" s="516" t="s">
        <v>214</v>
      </c>
      <c r="G17" s="204"/>
      <c r="H17" s="526"/>
      <c r="I17" s="205"/>
      <c r="J17" s="205"/>
      <c r="K17" s="522"/>
      <c r="L17" s="206"/>
      <c r="M17" s="173"/>
      <c r="N17" s="150"/>
    </row>
    <row r="18" spans="1:14" ht="27.6" x14ac:dyDescent="0.3">
      <c r="A18" s="158"/>
      <c r="B18" s="166"/>
      <c r="C18" s="168"/>
      <c r="D18" s="498">
        <v>13938.1</v>
      </c>
      <c r="E18" s="497">
        <v>45931</v>
      </c>
      <c r="F18" s="516" t="s">
        <v>214</v>
      </c>
      <c r="H18" s="515" t="s">
        <v>285</v>
      </c>
      <c r="J18" s="496">
        <v>22500</v>
      </c>
      <c r="K18" s="521"/>
      <c r="M18" s="174"/>
      <c r="N18" s="150"/>
    </row>
    <row r="19" spans="1:14" ht="96.6" x14ac:dyDescent="0.3">
      <c r="A19" s="164"/>
      <c r="B19" s="166"/>
      <c r="C19" s="168"/>
      <c r="D19" s="203">
        <v>60823</v>
      </c>
      <c r="E19" s="297"/>
      <c r="F19" s="516" t="s">
        <v>293</v>
      </c>
      <c r="H19" s="548" t="s">
        <v>286</v>
      </c>
      <c r="J19" s="496">
        <v>217000</v>
      </c>
      <c r="K19" s="521"/>
      <c r="M19" s="174"/>
      <c r="N19" s="150"/>
    </row>
    <row r="20" spans="1:14" ht="27.6" x14ac:dyDescent="0.3">
      <c r="A20" s="164"/>
      <c r="B20" s="166"/>
      <c r="C20" s="168"/>
      <c r="D20" s="203"/>
      <c r="E20" s="221"/>
      <c r="F20" s="222"/>
      <c r="H20" s="515" t="s">
        <v>288</v>
      </c>
      <c r="J20" s="496">
        <v>15000</v>
      </c>
      <c r="K20" s="521"/>
      <c r="M20" s="174"/>
      <c r="N20" s="150"/>
    </row>
    <row r="21" spans="1:14" x14ac:dyDescent="0.3">
      <c r="A21" s="164"/>
      <c r="B21" s="166"/>
      <c r="C21" s="168"/>
      <c r="D21" s="159"/>
      <c r="E21" s="160"/>
      <c r="F21" s="161"/>
      <c r="H21" s="521"/>
      <c r="J21" s="496"/>
      <c r="K21" s="521"/>
      <c r="M21" s="174"/>
      <c r="N21" s="150"/>
    </row>
    <row r="22" spans="1:14" x14ac:dyDescent="0.3">
      <c r="A22" s="163"/>
      <c r="B22" s="166"/>
      <c r="C22" s="168"/>
      <c r="D22" s="159"/>
      <c r="E22" s="162"/>
      <c r="F22" s="161"/>
      <c r="G22" s="148"/>
      <c r="H22" s="521"/>
      <c r="J22" s="496"/>
      <c r="K22" s="521"/>
      <c r="M22" s="174"/>
      <c r="N22" s="150"/>
    </row>
    <row r="23" spans="1:14" ht="16.2" thickBot="1" x14ac:dyDescent="0.35">
      <c r="A23" s="209">
        <v>45748</v>
      </c>
      <c r="B23" s="215">
        <f>M14</f>
        <v>266861.69999999995</v>
      </c>
      <c r="C23" s="231">
        <f>N14</f>
        <v>245601.69999999995</v>
      </c>
      <c r="D23" s="298">
        <f>SUM(D16:D22)</f>
        <v>91022.22</v>
      </c>
      <c r="E23" s="210"/>
      <c r="F23" s="211"/>
      <c r="G23" s="212"/>
      <c r="H23" s="212"/>
      <c r="I23" s="210">
        <f>SUM(I15:I22)</f>
        <v>0</v>
      </c>
      <c r="J23" s="549">
        <f>SUM(J16:J22)</f>
        <v>272000</v>
      </c>
      <c r="K23" s="210"/>
      <c r="L23" s="210">
        <f>SUM(L15:L22)</f>
        <v>0</v>
      </c>
      <c r="M23" s="213">
        <f>B23+D23-L23</f>
        <v>357883.91999999993</v>
      </c>
      <c r="N23" s="214">
        <f>B23+D23-J23</f>
        <v>85883.919999999925</v>
      </c>
    </row>
    <row r="24" spans="1:14" x14ac:dyDescent="0.3">
      <c r="I24" s="193"/>
      <c r="J24" s="243" t="s">
        <v>167</v>
      </c>
    </row>
    <row r="25" spans="1:14" x14ac:dyDescent="0.3">
      <c r="A25" s="546" t="s">
        <v>231</v>
      </c>
    </row>
    <row r="26" spans="1:14" x14ac:dyDescent="0.3">
      <c r="A26" s="189"/>
    </row>
    <row r="27" spans="1:14" x14ac:dyDescent="0.3">
      <c r="A27" s="547" t="s">
        <v>232</v>
      </c>
    </row>
    <row r="28" spans="1:14" x14ac:dyDescent="0.3">
      <c r="A28" s="188"/>
    </row>
    <row r="29" spans="1:14" x14ac:dyDescent="0.3">
      <c r="A29" s="550" t="s">
        <v>287</v>
      </c>
    </row>
    <row r="31" spans="1:14" x14ac:dyDescent="0.3">
      <c r="A31" s="556" t="s">
        <v>294</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7" ma:contentTypeDescription="Create a new document." ma:contentTypeScope="" ma:versionID="c83f33ff3896530e7b319bd20293ce76">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7111abb4e2bd5119db13bb2915d5d909"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103D4A-E1CF-4523-8D68-3346B233E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db142-86c1-463f-9a12-a992385bda94"/>
    <ds:schemaRef ds:uri="e0ea50aa-9a19-4cb4-ba41-575973501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00D664-52B7-45B9-B0D7-A34EA1FCAF72}">
  <ds:schemaRefs>
    <ds:schemaRef ds:uri="e0ea50aa-9a19-4cb4-ba41-57597350199e"/>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schemas.microsoft.com/office/2006/metadata/properties"/>
    <ds:schemaRef ds:uri="13ddb142-86c1-463f-9a12-a992385bda94"/>
    <ds:schemaRef ds:uri="http://schemas.microsoft.com/office/infopath/2007/PartnerControls"/>
  </ds:schemaRefs>
</ds:datastoreItem>
</file>

<file path=customXml/itemProps3.xml><?xml version="1.0" encoding="utf-8"?>
<ds:datastoreItem xmlns:ds="http://schemas.openxmlformats.org/officeDocument/2006/customXml" ds:itemID="{B06018E7-BBCE-457A-99CA-B8AD2BC481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Budget Summary</vt:lpstr>
      <vt:lpstr>Reserves</vt:lpstr>
      <vt:lpstr>100 Income</vt:lpstr>
      <vt:lpstr>101 Admin</vt:lpstr>
      <vt:lpstr>104 Communications</vt:lpstr>
      <vt:lpstr>301 Fairground &amp; Cemetery</vt:lpstr>
      <vt:lpstr>302 Roads, Footpaths, Commons</vt:lpstr>
      <vt:lpstr>805 Community Projects</vt:lpstr>
      <vt:lpstr>CIL</vt:lpstr>
      <vt:lpstr>'100 Income'!Print_Area</vt:lpstr>
      <vt:lpstr>'101 Admin'!Print_Area</vt:lpstr>
      <vt:lpstr>'104 Communications'!Print_Area</vt:lpstr>
      <vt:lpstr>'301 Fairground &amp; Cemetery'!Print_Area</vt:lpstr>
      <vt:lpstr>'302 Roads, Footpaths, Commons'!Print_Area</vt:lpstr>
      <vt:lpstr>'805 Community Projects'!Print_Area</vt:lpstr>
      <vt:lpstr>'Budget Summary'!Print_Area</vt:lpstr>
      <vt:lpstr>Reserves!Print_Area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Reade</dc:creator>
  <cp:keywords/>
  <dc:description/>
  <cp:lastModifiedBy>Lynn Hannawin</cp:lastModifiedBy>
  <cp:revision/>
  <cp:lastPrinted>2024-12-06T11:07:59Z</cp:lastPrinted>
  <dcterms:created xsi:type="dcterms:W3CDTF">2018-08-23T05:15:26Z</dcterms:created>
  <dcterms:modified xsi:type="dcterms:W3CDTF">2024-12-10T17:28:01Z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0x0101009B5C84FA3040E7418E53DF000E6CBA75</vt:lpwstr>
  </property>
  <property fmtid="{D5CDD505-2E9C-101B-9397-08002B2CF9AE}" pid="3" name="MediaServiceImageTags">
    <vt:lpwstr/>
  </property>
</Properties>
</file>