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checkCompatibility="1" autoCompressPictures="0"/>
  <mc:AlternateContent xmlns:mc="http://schemas.openxmlformats.org/markup-compatibility/2006">
    <mc:Choice Requires="x15">
      <x15ac:absPath xmlns:x15ac="http://schemas.microsoft.com/office/spreadsheetml/2010/11/ac" url="https://stratfieldmortimer.sharepoint.com/sites/ParishOffice/Shared Documents/COMMITTEES - Agendas &amp; Minutes/2023-2024/Agendas/Full Council/2024-01-11/PDFs/"/>
    </mc:Choice>
  </mc:AlternateContent>
  <xr:revisionPtr revIDLastSave="1" documentId="8_{29BA1DBE-A27E-40A0-87C8-2A253AEA05A7}" xr6:coauthVersionLast="47" xr6:coauthVersionMax="47" xr10:uidLastSave="{E90BB35A-6383-4609-A1BF-02AF0F9E760C}"/>
  <bookViews>
    <workbookView xWindow="-23148" yWindow="-108" windowWidth="23256" windowHeight="12576" tabRatio="836" firstSheet="3" activeTab="8" xr2:uid="{00000000-000D-0000-FFFF-FFFF00000000}"/>
  </bookViews>
  <sheets>
    <sheet name="Budget Summary" sheetId="8" r:id="rId1"/>
    <sheet name="Reserves" sheetId="9" r:id="rId2"/>
    <sheet name="100 Income" sheetId="2" r:id="rId3"/>
    <sheet name="101 Admin" sheetId="3" r:id="rId4"/>
    <sheet name="104 Communications" sheetId="4" r:id="rId5"/>
    <sheet name="301 Fairground &amp; Cemetery" sheetId="5" r:id="rId6"/>
    <sheet name="302 Roads, Footpaths, Commons" sheetId="6" r:id="rId7"/>
    <sheet name="805 Community Projects" sheetId="7" r:id="rId8"/>
    <sheet name="CIL" sheetId="14" r:id="rId9"/>
  </sheets>
  <definedNames>
    <definedName name="_xlnm.Print_Area" localSheetId="2">'100 Income'!$B$2:$L$38</definedName>
    <definedName name="_xlnm.Print_Area" localSheetId="3">'101 Admin'!$B$2:$L$49</definedName>
    <definedName name="_xlnm.Print_Area" localSheetId="4">'104 Communications'!$B$2:$L$16</definedName>
    <definedName name="_xlnm.Print_Area" localSheetId="5">'301 Fairground &amp; Cemetery'!$B$2:$L$26</definedName>
    <definedName name="_xlnm.Print_Area" localSheetId="6">'302 Roads, Footpaths, Commons'!$B$2:$L$28</definedName>
    <definedName name="_xlnm.Print_Area" localSheetId="7">'805 Community Projects'!$B$2:$L$9</definedName>
    <definedName name="_xlnm.Print_Area" localSheetId="0">'Budget Summary'!$B$2:$L$37</definedName>
    <definedName name="_xlnm.Print_Area" localSheetId="1">Reserves!$B$2:$J$28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6" l="1"/>
  <c r="J30" i="6"/>
  <c r="I30" i="6"/>
  <c r="H45" i="3"/>
  <c r="I23" i="9"/>
  <c r="K14" i="5" l="1"/>
  <c r="J14" i="5"/>
  <c r="I14" i="5"/>
  <c r="J23" i="3"/>
  <c r="K23" i="3"/>
  <c r="I23" i="3"/>
  <c r="F15" i="7" l="1"/>
  <c r="F29" i="8" s="1"/>
  <c r="F9" i="7"/>
  <c r="F17" i="7" s="1"/>
  <c r="F35" i="6"/>
  <c r="F28" i="8" s="1"/>
  <c r="F23" i="6"/>
  <c r="F28" i="6" s="1"/>
  <c r="F36" i="5"/>
  <c r="F27" i="8" s="1"/>
  <c r="F26" i="5"/>
  <c r="F38" i="5" s="1"/>
  <c r="F20" i="4"/>
  <c r="F26" i="8" s="1"/>
  <c r="F16" i="4"/>
  <c r="F22" i="4" s="1"/>
  <c r="F47" i="3"/>
  <c r="F25" i="8" s="1"/>
  <c r="F31" i="3"/>
  <c r="F9" i="8" s="1"/>
  <c r="F25" i="3"/>
  <c r="F26" i="2"/>
  <c r="F36" i="2"/>
  <c r="F28" i="2"/>
  <c r="F6" i="8" s="1"/>
  <c r="F20" i="2"/>
  <c r="K14" i="4"/>
  <c r="J14" i="4"/>
  <c r="I14" i="4"/>
  <c r="I11" i="9"/>
  <c r="F31" i="8" l="1"/>
  <c r="F13" i="8"/>
  <c r="F12" i="8"/>
  <c r="F37" i="6"/>
  <c r="F11" i="8"/>
  <c r="F10" i="8"/>
  <c r="F49" i="3"/>
  <c r="F8" i="8"/>
  <c r="F38" i="2"/>
  <c r="F19" i="8"/>
  <c r="F22" i="8" s="1"/>
  <c r="G26" i="2"/>
  <c r="G20" i="2"/>
  <c r="G6" i="9"/>
  <c r="K13" i="7"/>
  <c r="J13" i="7"/>
  <c r="I13" i="7"/>
  <c r="D21" i="8"/>
  <c r="D20" i="8"/>
  <c r="D19" i="8"/>
  <c r="K34" i="2"/>
  <c r="J34" i="2"/>
  <c r="I34" i="2"/>
  <c r="F14" i="8" l="1"/>
  <c r="F16" i="8" s="1"/>
  <c r="F33" i="8"/>
  <c r="F34" i="8" s="1"/>
  <c r="D22" i="8"/>
  <c r="E26" i="2"/>
  <c r="E20" i="2"/>
  <c r="F37" i="8" l="1"/>
  <c r="K22" i="3"/>
  <c r="J22" i="3"/>
  <c r="I22" i="3"/>
  <c r="D12" i="14"/>
  <c r="G30" i="2" s="1"/>
  <c r="H25" i="3" l="1"/>
  <c r="G25" i="3"/>
  <c r="E25" i="3"/>
  <c r="D25" i="3"/>
  <c r="G16" i="9" l="1"/>
  <c r="K41" i="3"/>
  <c r="J41" i="3"/>
  <c r="I41" i="3"/>
  <c r="N21" i="14"/>
  <c r="K21" i="14"/>
  <c r="J21" i="14"/>
  <c r="I21" i="14"/>
  <c r="J12" i="14"/>
  <c r="N12" i="14"/>
  <c r="K12" i="14"/>
  <c r="G45" i="3" s="1"/>
  <c r="G22" i="9" l="1"/>
  <c r="I22" i="9" s="1"/>
  <c r="K6" i="6"/>
  <c r="J6" i="6"/>
  <c r="I6" i="6"/>
  <c r="D21" i="14"/>
  <c r="H30" i="2" s="1"/>
  <c r="G21" i="9" l="1"/>
  <c r="K11" i="7"/>
  <c r="J11" i="7"/>
  <c r="I11" i="7"/>
  <c r="F17" i="9"/>
  <c r="G14" i="9"/>
  <c r="I14" i="9" s="1"/>
  <c r="G13" i="9"/>
  <c r="I13" i="9" s="1"/>
  <c r="G12" i="9"/>
  <c r="I12" i="9" s="1"/>
  <c r="G8" i="9"/>
  <c r="I8" i="9" s="1"/>
  <c r="I6" i="9"/>
  <c r="G9" i="9"/>
  <c r="I9" i="9" s="1"/>
  <c r="G7" i="9"/>
  <c r="I7" i="9" s="1"/>
  <c r="G15" i="9"/>
  <c r="I15" i="9" s="1"/>
  <c r="G5" i="9"/>
  <c r="I5" i="9" s="1"/>
  <c r="I12" i="14" l="1"/>
  <c r="B12" i="14"/>
  <c r="O12" i="14" l="1"/>
  <c r="B21" i="14" s="1"/>
  <c r="O21" i="14" s="1"/>
  <c r="P12" i="14"/>
  <c r="G23" i="6"/>
  <c r="C21" i="14" l="1"/>
  <c r="P21" i="14" s="1"/>
  <c r="G19" i="8"/>
  <c r="E24" i="9" s="1"/>
  <c r="I24" i="9" s="1"/>
  <c r="G20" i="8"/>
  <c r="G22" i="8" l="1"/>
  <c r="H27" i="9"/>
  <c r="G27" i="9"/>
  <c r="H17" i="9"/>
  <c r="E16" i="9"/>
  <c r="I16" i="9" s="1"/>
  <c r="D18" i="9"/>
  <c r="I21" i="9"/>
  <c r="K35" i="3"/>
  <c r="J35" i="3"/>
  <c r="I35" i="3"/>
  <c r="K34" i="5"/>
  <c r="J34" i="5"/>
  <c r="I34" i="5"/>
  <c r="K39" i="3"/>
  <c r="J39" i="3"/>
  <c r="I39" i="3"/>
  <c r="H15" i="7"/>
  <c r="H29" i="8" s="1"/>
  <c r="G15" i="7"/>
  <c r="E15" i="7"/>
  <c r="E29" i="8" s="1"/>
  <c r="D15" i="7"/>
  <c r="D29" i="8" s="1"/>
  <c r="H35" i="6"/>
  <c r="H28" i="8" s="1"/>
  <c r="K28" i="8" s="1"/>
  <c r="G35" i="6"/>
  <c r="E35" i="6"/>
  <c r="E28" i="8" s="1"/>
  <c r="I28" i="8" s="1"/>
  <c r="D35" i="6"/>
  <c r="D28" i="8" s="1"/>
  <c r="K31" i="6"/>
  <c r="J31" i="6"/>
  <c r="I31" i="6"/>
  <c r="H36" i="2"/>
  <c r="G36" i="2"/>
  <c r="E36" i="2"/>
  <c r="D36" i="2"/>
  <c r="K32" i="2"/>
  <c r="J32" i="2"/>
  <c r="I32" i="2"/>
  <c r="K30" i="2"/>
  <c r="J30" i="2"/>
  <c r="I30" i="2"/>
  <c r="H47" i="3"/>
  <c r="H25" i="8" s="1"/>
  <c r="G47" i="3"/>
  <c r="K7" i="7"/>
  <c r="J7" i="7"/>
  <c r="I7" i="7"/>
  <c r="H36" i="5"/>
  <c r="H27" i="8" s="1"/>
  <c r="G36" i="5"/>
  <c r="E36" i="5"/>
  <c r="E27" i="8" s="1"/>
  <c r="E47" i="3"/>
  <c r="E25" i="8" s="1"/>
  <c r="K33" i="6"/>
  <c r="J33" i="6"/>
  <c r="I33" i="6"/>
  <c r="D36" i="5"/>
  <c r="D27" i="8" s="1"/>
  <c r="K32" i="5"/>
  <c r="J32" i="5"/>
  <c r="I32" i="5"/>
  <c r="K30" i="5"/>
  <c r="J30" i="5"/>
  <c r="I30" i="5"/>
  <c r="K28" i="5"/>
  <c r="J28" i="5"/>
  <c r="I28" i="5"/>
  <c r="H20" i="4"/>
  <c r="G20" i="4"/>
  <c r="E20" i="4"/>
  <c r="E26" i="8" s="1"/>
  <c r="D20" i="4"/>
  <c r="D26" i="8" s="1"/>
  <c r="K18" i="4"/>
  <c r="J18" i="4"/>
  <c r="I18" i="4"/>
  <c r="K37" i="3"/>
  <c r="J37" i="3"/>
  <c r="I37" i="3"/>
  <c r="K33" i="3"/>
  <c r="J33" i="3"/>
  <c r="I33" i="3"/>
  <c r="D47" i="3"/>
  <c r="D25" i="8" s="1"/>
  <c r="K7" i="3"/>
  <c r="J7" i="3"/>
  <c r="I7" i="3"/>
  <c r="E31" i="8" l="1"/>
  <c r="D31" i="8"/>
  <c r="G10" i="9"/>
  <c r="I10" i="9" s="1"/>
  <c r="K20" i="4"/>
  <c r="D33" i="8"/>
  <c r="J20" i="4"/>
  <c r="G26" i="8"/>
  <c r="I26" i="8" s="1"/>
  <c r="H26" i="8"/>
  <c r="H31" i="8" s="1"/>
  <c r="G27" i="8"/>
  <c r="G29" i="8"/>
  <c r="I29" i="8" s="1"/>
  <c r="E27" i="9"/>
  <c r="E17" i="9"/>
  <c r="J36" i="5"/>
  <c r="J29" i="8"/>
  <c r="I35" i="6"/>
  <c r="G28" i="8"/>
  <c r="I27" i="8" s="1"/>
  <c r="I36" i="5"/>
  <c r="K36" i="5"/>
  <c r="I47" i="3"/>
  <c r="J47" i="3"/>
  <c r="K47" i="3"/>
  <c r="G25" i="8"/>
  <c r="G31" i="8" s="1"/>
  <c r="J28" i="8"/>
  <c r="J27" i="8"/>
  <c r="I20" i="4"/>
  <c r="K15" i="7"/>
  <c r="I15" i="7"/>
  <c r="H17" i="7"/>
  <c r="J15" i="7"/>
  <c r="J35" i="6"/>
  <c r="K35" i="6"/>
  <c r="K24" i="2"/>
  <c r="J24" i="2"/>
  <c r="I24" i="2"/>
  <c r="D14" i="6"/>
  <c r="D26" i="5"/>
  <c r="I8" i="3"/>
  <c r="F27" i="9"/>
  <c r="I8" i="4"/>
  <c r="D23" i="6"/>
  <c r="K27" i="6"/>
  <c r="K26" i="6"/>
  <c r="K22" i="6"/>
  <c r="K21" i="6"/>
  <c r="K20" i="6"/>
  <c r="K19" i="6"/>
  <c r="K18" i="6"/>
  <c r="K16" i="6"/>
  <c r="K13" i="6"/>
  <c r="K12" i="6"/>
  <c r="K11" i="6"/>
  <c r="K10" i="6"/>
  <c r="K8" i="6"/>
  <c r="K24" i="5"/>
  <c r="K22" i="5"/>
  <c r="K20" i="5"/>
  <c r="K18" i="5"/>
  <c r="K16" i="5"/>
  <c r="K12" i="5"/>
  <c r="K10" i="5"/>
  <c r="K8" i="5"/>
  <c r="K6" i="5"/>
  <c r="K12" i="4"/>
  <c r="K10" i="4"/>
  <c r="K8" i="4"/>
  <c r="K6" i="4"/>
  <c r="K6" i="3"/>
  <c r="K36" i="2"/>
  <c r="K25" i="2"/>
  <c r="K23" i="2"/>
  <c r="K22" i="2"/>
  <c r="K19" i="2"/>
  <c r="K18" i="2"/>
  <c r="K17" i="2"/>
  <c r="K15" i="2"/>
  <c r="K13" i="2"/>
  <c r="K11" i="2"/>
  <c r="K9" i="2"/>
  <c r="K7" i="2"/>
  <c r="K5" i="2"/>
  <c r="K45" i="3"/>
  <c r="K43" i="3"/>
  <c r="K29" i="3"/>
  <c r="K28" i="3"/>
  <c r="K27" i="3"/>
  <c r="K21" i="3"/>
  <c r="K20" i="3"/>
  <c r="K19" i="3"/>
  <c r="K18" i="3"/>
  <c r="K17" i="3"/>
  <c r="K16" i="3"/>
  <c r="K15" i="3"/>
  <c r="K14" i="3"/>
  <c r="K13" i="3"/>
  <c r="K12" i="3"/>
  <c r="K11" i="3"/>
  <c r="K10" i="3"/>
  <c r="K9" i="3"/>
  <c r="K8" i="3"/>
  <c r="J24" i="5"/>
  <c r="I24" i="5"/>
  <c r="E26" i="5"/>
  <c r="E38" i="5" s="1"/>
  <c r="H26" i="5"/>
  <c r="H38" i="5" s="1"/>
  <c r="H23" i="6"/>
  <c r="H20" i="2"/>
  <c r="H26" i="2"/>
  <c r="G16" i="4"/>
  <c r="G26" i="5"/>
  <c r="G14" i="6"/>
  <c r="G28" i="6" s="1"/>
  <c r="G9" i="7"/>
  <c r="D28" i="9"/>
  <c r="D31" i="9" s="1"/>
  <c r="I10" i="3"/>
  <c r="E23" i="6"/>
  <c r="E28" i="6" s="1"/>
  <c r="J27" i="6"/>
  <c r="I27" i="6"/>
  <c r="J26" i="6"/>
  <c r="I26" i="6"/>
  <c r="J22" i="6"/>
  <c r="I22" i="6"/>
  <c r="J21" i="6"/>
  <c r="I21" i="6"/>
  <c r="J20" i="6"/>
  <c r="I20" i="6"/>
  <c r="J19" i="6"/>
  <c r="I19" i="6"/>
  <c r="J18" i="6"/>
  <c r="I18" i="6"/>
  <c r="J16" i="6"/>
  <c r="I16" i="6"/>
  <c r="J14" i="6"/>
  <c r="J13" i="6"/>
  <c r="I13" i="6"/>
  <c r="J12" i="6"/>
  <c r="I12" i="6"/>
  <c r="J11" i="6"/>
  <c r="I11" i="6"/>
  <c r="J10" i="6"/>
  <c r="I10" i="6"/>
  <c r="J8" i="6"/>
  <c r="I8" i="6"/>
  <c r="J22" i="5"/>
  <c r="I22" i="5"/>
  <c r="J20" i="5"/>
  <c r="I20" i="5"/>
  <c r="J18" i="5"/>
  <c r="I18" i="5"/>
  <c r="J16" i="5"/>
  <c r="I16" i="5"/>
  <c r="J12" i="5"/>
  <c r="I12" i="5"/>
  <c r="J10" i="5"/>
  <c r="I10" i="5"/>
  <c r="J8" i="5"/>
  <c r="I8" i="5"/>
  <c r="J6" i="5"/>
  <c r="I6" i="5"/>
  <c r="E16" i="4"/>
  <c r="E22" i="4" s="1"/>
  <c r="J12" i="4"/>
  <c r="I12" i="4"/>
  <c r="J10" i="4"/>
  <c r="I10" i="4"/>
  <c r="J8" i="4"/>
  <c r="J6" i="4"/>
  <c r="I6" i="4"/>
  <c r="J36" i="2"/>
  <c r="I36" i="2"/>
  <c r="J25" i="2"/>
  <c r="I25" i="2"/>
  <c r="J23" i="2"/>
  <c r="I23" i="2"/>
  <c r="J22" i="2"/>
  <c r="I22" i="2"/>
  <c r="J19" i="2"/>
  <c r="I19" i="2"/>
  <c r="J18" i="2"/>
  <c r="I18" i="2"/>
  <c r="J17" i="2"/>
  <c r="I17" i="2"/>
  <c r="J15" i="2"/>
  <c r="I15" i="2"/>
  <c r="J13" i="2"/>
  <c r="I13" i="2"/>
  <c r="J11" i="2"/>
  <c r="I11" i="2"/>
  <c r="J9" i="2"/>
  <c r="I9" i="2"/>
  <c r="J7" i="2"/>
  <c r="I7" i="2"/>
  <c r="J5" i="2"/>
  <c r="I5" i="2"/>
  <c r="E9" i="7"/>
  <c r="E19" i="8"/>
  <c r="E22" i="8" s="1"/>
  <c r="H13" i="8"/>
  <c r="H19" i="8"/>
  <c r="H22" i="8" s="1"/>
  <c r="I43" i="3"/>
  <c r="I45" i="3"/>
  <c r="J45" i="3"/>
  <c r="J43" i="3"/>
  <c r="J29" i="3"/>
  <c r="J28" i="3"/>
  <c r="J27" i="3"/>
  <c r="J21" i="3"/>
  <c r="J20" i="3"/>
  <c r="J19" i="3"/>
  <c r="J18" i="3"/>
  <c r="J17" i="3"/>
  <c r="J16" i="3"/>
  <c r="J15" i="3"/>
  <c r="J14" i="3"/>
  <c r="J13" i="3"/>
  <c r="J12" i="3"/>
  <c r="J11" i="3"/>
  <c r="J10" i="3"/>
  <c r="J9" i="3"/>
  <c r="J8" i="3"/>
  <c r="J6" i="3"/>
  <c r="I29" i="3"/>
  <c r="I28" i="3"/>
  <c r="I27" i="3"/>
  <c r="I21" i="3"/>
  <c r="I20" i="3"/>
  <c r="I19" i="3"/>
  <c r="I18" i="3"/>
  <c r="I17" i="3"/>
  <c r="I16" i="3"/>
  <c r="I15" i="3"/>
  <c r="I14" i="3"/>
  <c r="I13" i="3"/>
  <c r="I12" i="3"/>
  <c r="I11" i="3"/>
  <c r="I9" i="3"/>
  <c r="D20" i="2"/>
  <c r="D26" i="2"/>
  <c r="D16" i="4"/>
  <c r="D9" i="7"/>
  <c r="D13" i="8" s="1"/>
  <c r="I6" i="3"/>
  <c r="M10" i="8"/>
  <c r="G17" i="9" l="1"/>
  <c r="D28" i="6"/>
  <c r="G13" i="8"/>
  <c r="G38" i="5"/>
  <c r="K26" i="8"/>
  <c r="G22" i="4"/>
  <c r="H28" i="6"/>
  <c r="J28" i="6" s="1"/>
  <c r="J26" i="8"/>
  <c r="D28" i="2"/>
  <c r="D38" i="2" s="1"/>
  <c r="E37" i="6"/>
  <c r="E8" i="8"/>
  <c r="H8" i="8"/>
  <c r="D34" i="8"/>
  <c r="H33" i="8"/>
  <c r="H34" i="8" s="1"/>
  <c r="K29" i="8"/>
  <c r="G33" i="8"/>
  <c r="G34" i="8" s="1"/>
  <c r="D42" i="9" s="1"/>
  <c r="E10" i="8"/>
  <c r="D10" i="8"/>
  <c r="D22" i="4"/>
  <c r="I14" i="6"/>
  <c r="G37" i="6"/>
  <c r="K14" i="6"/>
  <c r="K27" i="8"/>
  <c r="D11" i="8"/>
  <c r="D38" i="5"/>
  <c r="I28" i="9"/>
  <c r="G17" i="7"/>
  <c r="K17" i="7" s="1"/>
  <c r="I9" i="7"/>
  <c r="K9" i="7"/>
  <c r="D17" i="7"/>
  <c r="E13" i="8"/>
  <c r="J9" i="7"/>
  <c r="E17" i="7"/>
  <c r="J17" i="7" s="1"/>
  <c r="K23" i="6"/>
  <c r="J23" i="6"/>
  <c r="E28" i="2"/>
  <c r="E6" i="8" s="1"/>
  <c r="I20" i="2"/>
  <c r="J26" i="2"/>
  <c r="K20" i="2"/>
  <c r="K19" i="8"/>
  <c r="K13" i="8"/>
  <c r="E11" i="8"/>
  <c r="G11" i="8"/>
  <c r="I38" i="5"/>
  <c r="H16" i="4"/>
  <c r="I16" i="4"/>
  <c r="I22" i="4"/>
  <c r="I25" i="8"/>
  <c r="K25" i="8"/>
  <c r="G10" i="8"/>
  <c r="I25" i="3"/>
  <c r="G8" i="8"/>
  <c r="D8" i="8"/>
  <c r="E33" i="8"/>
  <c r="J25" i="8"/>
  <c r="J20" i="2"/>
  <c r="G28" i="2"/>
  <c r="K26" i="2"/>
  <c r="J19" i="8"/>
  <c r="I19" i="8"/>
  <c r="H28" i="2"/>
  <c r="I23" i="6"/>
  <c r="E12" i="8"/>
  <c r="I26" i="5"/>
  <c r="K26" i="5"/>
  <c r="J26" i="5"/>
  <c r="H11" i="8"/>
  <c r="J25" i="3"/>
  <c r="K25" i="3"/>
  <c r="I13" i="8" l="1"/>
  <c r="G38" i="2"/>
  <c r="H12" i="8"/>
  <c r="J12" i="8" s="1"/>
  <c r="H37" i="6"/>
  <c r="J37" i="6" s="1"/>
  <c r="J8" i="8"/>
  <c r="I37" i="6"/>
  <c r="K16" i="4"/>
  <c r="H22" i="4"/>
  <c r="G12" i="8"/>
  <c r="K28" i="6"/>
  <c r="I28" i="6"/>
  <c r="J13" i="8"/>
  <c r="I11" i="8"/>
  <c r="I17" i="7"/>
  <c r="D12" i="8"/>
  <c r="D37" i="6"/>
  <c r="D6" i="8"/>
  <c r="E38" i="2"/>
  <c r="K38" i="5"/>
  <c r="J38" i="5"/>
  <c r="H10" i="8"/>
  <c r="J10" i="8" s="1"/>
  <c r="J16" i="4"/>
  <c r="K34" i="8"/>
  <c r="J33" i="8"/>
  <c r="I33" i="8"/>
  <c r="E34" i="8"/>
  <c r="I34" i="8" s="1"/>
  <c r="K33" i="8"/>
  <c r="I10" i="8"/>
  <c r="I8" i="8"/>
  <c r="K8" i="8"/>
  <c r="I28" i="2"/>
  <c r="G6" i="8"/>
  <c r="J28" i="2"/>
  <c r="H6" i="8"/>
  <c r="H38" i="2"/>
  <c r="H43" i="2" s="1"/>
  <c r="K28" i="2"/>
  <c r="J11" i="8"/>
  <c r="K11" i="8"/>
  <c r="I38" i="2" l="1"/>
  <c r="K12" i="8"/>
  <c r="K37" i="6"/>
  <c r="I12" i="8"/>
  <c r="K10" i="8"/>
  <c r="K22" i="4"/>
  <c r="J22" i="4"/>
  <c r="J34" i="8"/>
  <c r="I6" i="8"/>
  <c r="K6" i="8"/>
  <c r="J6" i="8"/>
  <c r="K38" i="2"/>
  <c r="J38" i="2"/>
  <c r="G31" i="3"/>
  <c r="H31" i="3"/>
  <c r="D31" i="3"/>
  <c r="D9" i="8" s="1"/>
  <c r="D14" i="8" s="1"/>
  <c r="E31" i="3"/>
  <c r="E9" i="8" l="1"/>
  <c r="E14" i="8" s="1"/>
  <c r="E49" i="3"/>
  <c r="H49" i="3"/>
  <c r="D49" i="3"/>
  <c r="H9" i="8"/>
  <c r="H14" i="8" s="1"/>
  <c r="H37" i="8" s="1"/>
  <c r="K31" i="3"/>
  <c r="D16" i="8"/>
  <c r="D37" i="8"/>
  <c r="J31" i="3"/>
  <c r="G9" i="8"/>
  <c r="G14" i="8" s="1"/>
  <c r="G37" i="8" s="1"/>
  <c r="G49" i="3"/>
  <c r="I31" i="3"/>
  <c r="K37" i="8" l="1"/>
  <c r="J49" i="3"/>
  <c r="J9" i="8"/>
  <c r="C34" i="9"/>
  <c r="C35" i="9" s="1"/>
  <c r="H16" i="8"/>
  <c r="I49" i="3"/>
  <c r="J14" i="8"/>
  <c r="E37" i="8"/>
  <c r="J37" i="8" s="1"/>
  <c r="I9" i="8"/>
  <c r="K49" i="3"/>
  <c r="K9" i="8"/>
  <c r="I14" i="8"/>
  <c r="G16" i="8"/>
  <c r="K14" i="8"/>
  <c r="E16" i="8"/>
  <c r="I4" i="9" l="1"/>
  <c r="D41" i="9"/>
  <c r="D45" i="9" s="1"/>
  <c r="I37" i="8"/>
  <c r="I18" i="9"/>
  <c r="I31" i="9" s="1"/>
  <c r="D40" i="9" s="1"/>
  <c r="C36" i="9"/>
  <c r="C37" i="9" s="1"/>
</calcChain>
</file>

<file path=xl/sharedStrings.xml><?xml version="1.0" encoding="utf-8"?>
<sst xmlns="http://schemas.openxmlformats.org/spreadsheetml/2006/main" count="391" uniqueCount="303">
  <si>
    <t>Summary</t>
  </si>
  <si>
    <t>Cost Centre</t>
  </si>
  <si>
    <t>Description</t>
  </si>
  <si>
    <t>Comments</t>
  </si>
  <si>
    <t>Parish Council Operating Income</t>
  </si>
  <si>
    <t>Administration Operating Costs</t>
  </si>
  <si>
    <t>Grants to other bodies</t>
  </si>
  <si>
    <t>Communications</t>
  </si>
  <si>
    <t>Fairground &amp; Cemetery</t>
  </si>
  <si>
    <t>Roads, Footpaths, Commons</t>
  </si>
  <si>
    <t>Parish Council Operating Costs</t>
  </si>
  <si>
    <t>Parish Council Operating income less Operating Costs. Transfer to/ (from) General Reserve</t>
  </si>
  <si>
    <t>Total income less expenditure</t>
  </si>
  <si>
    <t>SMPC Forecast Operating Reserves</t>
  </si>
  <si>
    <t>Year End Transfers Between EMRs</t>
  </si>
  <si>
    <t>Notes</t>
  </si>
  <si>
    <t>General Reserve</t>
  </si>
  <si>
    <t>Cemetery Extension</t>
  </si>
  <si>
    <t>Fairground Works</t>
  </si>
  <si>
    <t>Election Expenses</t>
  </si>
  <si>
    <t>Tennis courts</t>
  </si>
  <si>
    <t>Roads, Footpaths &amp; Commons</t>
  </si>
  <si>
    <t>Neighbourhood Plan</t>
  </si>
  <si>
    <t>Total Transfers</t>
  </si>
  <si>
    <t>Total Operating Reserves</t>
  </si>
  <si>
    <t>SMPC Forecast Community Infrastructure Reserves</t>
  </si>
  <si>
    <t>S106</t>
  </si>
  <si>
    <t>CIL 21/22</t>
  </si>
  <si>
    <t>Community Infrastructure Reserves</t>
  </si>
  <si>
    <t>Total Reserves</t>
  </si>
  <si>
    <t>Total operating costs for the year</t>
  </si>
  <si>
    <t>1 month of operating costs</t>
  </si>
  <si>
    <t>100 Income</t>
  </si>
  <si>
    <t>Account code</t>
  </si>
  <si>
    <t>Account description</t>
  </si>
  <si>
    <t>Admin Income</t>
  </si>
  <si>
    <t>Wayleave Rental</t>
  </si>
  <si>
    <t>Precept</t>
  </si>
  <si>
    <t>Bank Interest</t>
  </si>
  <si>
    <t>Grants received</t>
  </si>
  <si>
    <t>Cemetery Fees - Burial Plot</t>
  </si>
  <si>
    <t>Cemetery Fees - Cremation Plot</t>
  </si>
  <si>
    <t>Cemetery Fees - Memorial</t>
  </si>
  <si>
    <t>Total Cemetery</t>
  </si>
  <si>
    <t>Fairground Hire Fee</t>
  </si>
  <si>
    <t>Fairground Hire Fee - Annual</t>
  </si>
  <si>
    <t>Fairground Hire - Tennis Courts</t>
  </si>
  <si>
    <t>Total Fairground</t>
  </si>
  <si>
    <t>Parish Council Operating income</t>
  </si>
  <si>
    <t>Total Parish Council Income</t>
  </si>
  <si>
    <t>CHECK</t>
  </si>
  <si>
    <t>Staff Costs</t>
  </si>
  <si>
    <t>Training</t>
  </si>
  <si>
    <t>Chairman's Allowance</t>
  </si>
  <si>
    <t>Election expenses</t>
  </si>
  <si>
    <t>Audit Fee</t>
  </si>
  <si>
    <t>Admin Expenses</t>
  </si>
  <si>
    <t>Insurance costs</t>
  </si>
  <si>
    <t>Annual Subscription</t>
  </si>
  <si>
    <t>Hall Rental</t>
  </si>
  <si>
    <t>Office - Rent, Rates, Utility</t>
  </si>
  <si>
    <t>Bank Charges</t>
  </si>
  <si>
    <t>Remembrance Day Commemoration</t>
  </si>
  <si>
    <t xml:space="preserve">Tennis Court Clubspark </t>
  </si>
  <si>
    <t>Community Award</t>
  </si>
  <si>
    <t>Garth Hall</t>
  </si>
  <si>
    <t>Willink Leisure Centre</t>
  </si>
  <si>
    <t>Grants</t>
  </si>
  <si>
    <t>S137 Grants</t>
  </si>
  <si>
    <t>Total Administration Costs</t>
  </si>
  <si>
    <t>104 Communications</t>
  </si>
  <si>
    <t>Software / web design</t>
  </si>
  <si>
    <t>Web hosting</t>
  </si>
  <si>
    <t>Newsletters</t>
  </si>
  <si>
    <t>Community Forums</t>
  </si>
  <si>
    <t>301 Fairground &amp; Cemetery</t>
  </si>
  <si>
    <t>Fairground grass cutting</t>
  </si>
  <si>
    <t>Fairground maintenance</t>
  </si>
  <si>
    <t>Dog bin waste disposal</t>
  </si>
  <si>
    <t>Play Equipment Maintenance</t>
  </si>
  <si>
    <t>Fairground lease rental</t>
  </si>
  <si>
    <t>Rent review took place in September 2020 and new rate is £2701. This will next be reviewed when the current lease expires in 2027</t>
  </si>
  <si>
    <t>Cemetery grass cutting</t>
  </si>
  <si>
    <t>Cemetery general maintenance</t>
  </si>
  <si>
    <t>Cemetery lease rental</t>
  </si>
  <si>
    <t>Pillbox general maintenance</t>
  </si>
  <si>
    <t>302 Roads, Footpaths &amp; Commons</t>
  </si>
  <si>
    <t>Roads</t>
  </si>
  <si>
    <t>Footpaths</t>
  </si>
  <si>
    <t>Commons</t>
  </si>
  <si>
    <t>RFC Special Projects</t>
  </si>
  <si>
    <t>West End Road Car Park</t>
  </si>
  <si>
    <t>805 Community Projects</t>
  </si>
  <si>
    <t>Community Projects</t>
  </si>
  <si>
    <t>s.137 should not be required as the Council qualifies for the General Power of Competence. The budget for grants has been amalgamated under 4448 Grants</t>
  </si>
  <si>
    <t>Climate and Environment</t>
  </si>
  <si>
    <t>Queen's Platinum Jubilee</t>
  </si>
  <si>
    <t xml:space="preserve">Community Grant </t>
  </si>
  <si>
    <t>SMPC Committee Budgets 2023/24</t>
  </si>
  <si>
    <t>2023/24 Budget</t>
  </si>
  <si>
    <t>Fairground Tennis Courts - Annual</t>
  </si>
  <si>
    <t>Pension Admin Charge</t>
  </si>
  <si>
    <t>SMPC Budget 2023/24</t>
  </si>
  <si>
    <t>EMR Election Expenses</t>
  </si>
  <si>
    <t>EMR S106 Expenditure</t>
  </si>
  <si>
    <t>EMR CIL expenditure</t>
  </si>
  <si>
    <t>EMR Spend</t>
  </si>
  <si>
    <t>EMR Website Spend</t>
  </si>
  <si>
    <t>Total Communications Costs</t>
  </si>
  <si>
    <t>Fairground &amp; Cemetery Operating Costs</t>
  </si>
  <si>
    <t>Communications Operating Costs</t>
  </si>
  <si>
    <t>Total Fairground &amp; Cemetery Costs</t>
  </si>
  <si>
    <t>EMR Cemetery Extension</t>
  </si>
  <si>
    <t>EMR Fairground Maintenance</t>
  </si>
  <si>
    <t>EMR Play Area Maintenance</t>
  </si>
  <si>
    <t xml:space="preserve">Climate and Environment </t>
  </si>
  <si>
    <t>EMR Income</t>
  </si>
  <si>
    <t>Administration</t>
  </si>
  <si>
    <t>Fairground and Cemetery</t>
  </si>
  <si>
    <t>Total Roads, Footpaths &amp; Commons Costs</t>
  </si>
  <si>
    <t>Roads, Footpaths &amp; Commons Operational Costs</t>
  </si>
  <si>
    <t>Community Projects Operating Costs</t>
  </si>
  <si>
    <t>Total Community Projects Costs</t>
  </si>
  <si>
    <t>EMR Income less Spend</t>
  </si>
  <si>
    <t>EMR Community Infrastructure Levy</t>
  </si>
  <si>
    <t>Roads, Footpaths and Commons</t>
  </si>
  <si>
    <t>Donations</t>
  </si>
  <si>
    <t xml:space="preserve">EMR Neighbourhood Plan </t>
  </si>
  <si>
    <t>Windmill Common</t>
  </si>
  <si>
    <t xml:space="preserve">Community Projects </t>
  </si>
  <si>
    <t>Transfers to / (from) reserves</t>
  </si>
  <si>
    <t>EMR Tennis Courts</t>
  </si>
  <si>
    <t>EMR Community Grant</t>
  </si>
  <si>
    <t>EMR Garth Hall</t>
  </si>
  <si>
    <t>CIL 22/23</t>
  </si>
  <si>
    <t>Youth Club Donated Funds</t>
  </si>
  <si>
    <t>TOTAL</t>
  </si>
  <si>
    <t>Balance left for conservation area information boards</t>
  </si>
  <si>
    <t>EMR Climate and Environment</t>
  </si>
  <si>
    <t>CIL EMRs</t>
  </si>
  <si>
    <t>Income 1106</t>
  </si>
  <si>
    <t>Date</t>
  </si>
  <si>
    <t>Detail</t>
  </si>
  <si>
    <t>Approval Details</t>
  </si>
  <si>
    <t>Project Detail</t>
  </si>
  <si>
    <t>Amount Approved</t>
  </si>
  <si>
    <t>PO</t>
  </si>
  <si>
    <t xml:space="preserve">The Street Footway Widening </t>
  </si>
  <si>
    <t>EMR 334 21/22</t>
  </si>
  <si>
    <t>FC 13/10/2022</t>
  </si>
  <si>
    <t>Utility Square</t>
  </si>
  <si>
    <t>Fairground Footpath</t>
  </si>
  <si>
    <t xml:space="preserve">Forecast Year End Tr/F from General Reserves to EMRs </t>
  </si>
  <si>
    <t>Forecast CIL/S106 Expenditure</t>
  </si>
  <si>
    <t>FC 18/06/2021</t>
  </si>
  <si>
    <t>FC 10/11/2022</t>
  </si>
  <si>
    <t>CCTV</t>
  </si>
  <si>
    <t>Balance for Phase 2A</t>
  </si>
  <si>
    <t>Date PO Raised</t>
  </si>
  <si>
    <t>New Code</t>
  </si>
  <si>
    <t>MCC assumes same cost for 22/23</t>
  </si>
  <si>
    <t>Officer and Councillor training</t>
  </si>
  <si>
    <t xml:space="preserve">Cost of Wreath and PA </t>
  </si>
  <si>
    <t>Assumes grant to St Marys Church and the library contribution</t>
  </si>
  <si>
    <t>s106 EMR cleared in 2022/23 with expenditure on the Fitness Equipment.</t>
  </si>
  <si>
    <t>Assumes another round of Community Grants an adjustment has been made in Reserves</t>
  </si>
  <si>
    <t>Usual annual payment.</t>
  </si>
  <si>
    <t>Funds now held in an EMR</t>
  </si>
  <si>
    <t>Expenditure Approved but NOT Committed</t>
  </si>
  <si>
    <t>EMR Youth Club Donated Funds</t>
  </si>
  <si>
    <t>Mortimer to Burghfield Cycleway/Footpath</t>
  </si>
  <si>
    <t>FC 12/03/2020 Predicted Costs*</t>
  </si>
  <si>
    <t>Budgeted Year End Closing Balance if all Approved Amounts are Paid</t>
  </si>
  <si>
    <t>Budgeted Opening Balance if all Approved Amounts are Paid</t>
  </si>
  <si>
    <t>Actual Rialtas CIL EMR Opening Balances</t>
  </si>
  <si>
    <t>Actual Rialtas CIL EMR Year End Closing Balance</t>
  </si>
  <si>
    <t xml:space="preserve">Sinking fund for tennis court resuracing. It is estimated that £50k will be needed by March 2029.  </t>
  </si>
  <si>
    <t>Calculation for General Reserves</t>
  </si>
  <si>
    <t>Reserve held for costs associated with resolving the future of Garth Hall</t>
  </si>
  <si>
    <t>See sheet 101 Admin for details</t>
  </si>
  <si>
    <t xml:space="preserve">See sheet 100 Income for details. </t>
  </si>
  <si>
    <t>See sheet 104 Communications for details</t>
  </si>
  <si>
    <t>See sheet 301 Fairground &amp; Cemetery for details</t>
  </si>
  <si>
    <t>See sheet 302 Roads, Footpaths Commons for details</t>
  </si>
  <si>
    <t>See sheet 805 Community Projects for details</t>
  </si>
  <si>
    <t>See CIL income sheet 100 Income</t>
  </si>
  <si>
    <t>See Donations income sheet 100 Income</t>
  </si>
  <si>
    <t>CIL &amp; other EMR spending sheet 101 Admin</t>
  </si>
  <si>
    <t>EMR spending sheet 104 Communications</t>
  </si>
  <si>
    <t>EMR spending sheet 301 Fairground and Cemetery</t>
  </si>
  <si>
    <t>EMR spending sheet 302 Roads, Footpaths and Commons</t>
  </si>
  <si>
    <t>EMR spending sheet 805 Community Projects</t>
  </si>
  <si>
    <t>Amount Paid to Date 4930 &amp; EMR 320</t>
  </si>
  <si>
    <t xml:space="preserve"> Phase 2B</t>
  </si>
  <si>
    <t>Red = affects other aspects of spreadsheet</t>
  </si>
  <si>
    <t>SMPC Committee Budgets 2024/25</t>
  </si>
  <si>
    <t>2022/23 Actual</t>
  </si>
  <si>
    <t>2023/24 Forecast</t>
  </si>
  <si>
    <t>2024/25 Budget</t>
  </si>
  <si>
    <t>2023/24 Forecast vs 20223/24 Budget</t>
  </si>
  <si>
    <t>2024/25 Budget vs 2023/24 Budget</t>
  </si>
  <si>
    <t>2024/25 Budget vs 2023/24 Forecast</t>
  </si>
  <si>
    <t>EMR for Play Area Maintenance is now at  £0.00</t>
  </si>
  <si>
    <t>Defibrilators</t>
  </si>
  <si>
    <t>ASWC/CSW signs</t>
  </si>
  <si>
    <t>Unbudgeted Expenditure</t>
  </si>
  <si>
    <t>101 Administration</t>
  </si>
  <si>
    <t>Other EMR Income</t>
  </si>
  <si>
    <t>EMR now at £0.00</t>
  </si>
  <si>
    <t>Community Infrastructure Levy</t>
  </si>
  <si>
    <t>Other</t>
  </si>
  <si>
    <t>2023/24 Forecast vs 2023/24 Budget</t>
  </si>
  <si>
    <t>New EMR Set Up During 2023/24</t>
  </si>
  <si>
    <t>Forecast Spend directly from EMRs for 2023/24</t>
  </si>
  <si>
    <t>CIL 23/24</t>
  </si>
  <si>
    <t>Spent in 2022/23</t>
  </si>
  <si>
    <t>Mortimer to Burghfield Cycleway and Footpath</t>
  </si>
  <si>
    <t xml:space="preserve"> Transfers Between EMRs</t>
  </si>
  <si>
    <t>EMR 335 22/23</t>
  </si>
  <si>
    <t>Cycleway/Footpath planning</t>
  </si>
  <si>
    <t>The budget is an estimate of 'normal' level of preventive and reactive maintenance and includes a sum for the upkeep of the new fitness equipment. The increase is to allow for the resurfacing of equipment areas.</t>
  </si>
  <si>
    <t>Maintained at the 2023/24 level.</t>
  </si>
  <si>
    <t>Allows for a  5% increase in costs for 2024/25.</t>
  </si>
  <si>
    <t>Allows for 1 x tidy-up cut at the end of winter/beginning of spring, 4 scheduled maintenance cuts and other on demand cuts as requested. Allows for a  5% increase in costs for 2024/25.</t>
  </si>
  <si>
    <t>3 x 2000 newsletters based on the price of Autumn 2023 newsletter of £541.50.</t>
  </si>
  <si>
    <t>Hosting, DNS &amp; FB postings are approximately  £40.00 a month and a SSL certificate is £165.00 annually (previously we have had a free one which is secure but only encrypts data whereas the paid one also verifies the Council as the organisation it claims to be. It is recommended to have this to build trust with service users).</t>
  </si>
  <si>
    <t>Annual administration cost paid monthly.From 01/10/2023 increased to £22.00 a month.</t>
  </si>
  <si>
    <t>Maintained at 2023/24 budget level</t>
  </si>
  <si>
    <t>Allows for a 5% increase in costs for 2024/25.</t>
  </si>
  <si>
    <t>Allows for a 5% increase  in costs for 2024/25.</t>
  </si>
  <si>
    <t>Allows for IT Support at £142.00 a month, payroll and accounts software and general admin expenses.</t>
  </si>
  <si>
    <t>Includes 12 x £3 Lloyds charge, 4 x £40 bank charge and 2 x £28 CHAP charges</t>
  </si>
  <si>
    <t>For 2023/24 includes CCTV and 3 x replacement defibrillator cabinets.</t>
  </si>
  <si>
    <t>EMR cleared in 2023/24 with a donation to 1st Mortimer Scouts.</t>
  </si>
  <si>
    <t xml:space="preserve">Reserve held for costs associated with the Neighbourhod Plan. </t>
  </si>
  <si>
    <t>EMR held for elections.</t>
  </si>
  <si>
    <t>Current contract includes 16 x grass cut, 3 x weed applications &amp; 2 x hedge trims. The additional budget for 23/24 allowed for an increase in revenue costs for the cemetery extension grounds maintenance. Allows for a  5% increase in costs for 2024/25.</t>
  </si>
  <si>
    <t>Notes re 2024/25 Budget Figures</t>
  </si>
  <si>
    <t>Balance for landscaping</t>
  </si>
  <si>
    <t>See sheet CIL Red = figure affected by CIL  tab</t>
  </si>
  <si>
    <t>Increases by RPI annually. Previously WBC have used the September's figure so assumes 8.9% (September 2023 figure)</t>
  </si>
  <si>
    <t>EMR held of £5,074 as at 30/09/2023</t>
  </si>
  <si>
    <t>Allows for a 5% increase in costs for 2024/25 &amp; includes: LTA - £142; CIA (gate maintenance, cloud cost and data contract costs) - £735; Stripe charges £204 (average £17.00 a month), emergency call out fee of £82.00. Call out fee was not used in 2022/23.</t>
  </si>
  <si>
    <t xml:space="preserve">Current amount of interest at October 2023 was £1,998. Assumed an average of £1,500 a month bearing in mind changes in interest rates and funds being drawn down. </t>
  </si>
  <si>
    <t>Members' Bid for Victoria Road pavement reinstatement.</t>
  </si>
  <si>
    <t>Assumes 5 burials - adult residents + 5% increase in fees (803.5 x 1.05 = 843.68)</t>
  </si>
  <si>
    <t>Assumes 4 cremations - adult residents + 5% increase in fees (609.5 x 1.05 = 609)</t>
  </si>
  <si>
    <t>Assumes memorials for 4 burial (241.50 x 4) x 1.05 = 1014.30 &amp; 4 cremation (159 x 4) x 1.05 = 667.8 plots + 5% increase in fees</t>
  </si>
  <si>
    <t>Assumes; 4 full days (120.75 x 4) x 105 = 507.15; 4 half days (90.83 x 4) x 1.05 = 381.49; Fit4Sports £266; Little Kickers £682.50 + 5% increase in fees</t>
  </si>
  <si>
    <t>Public use of court hire + 5%</t>
  </si>
  <si>
    <t>Fee for Mortimer Tennis Club + 5%</t>
  </si>
  <si>
    <t>Windmill Common Tree Work</t>
  </si>
  <si>
    <t>£7,727 held for contribution to WBC for Brewery Common tree work.</t>
  </si>
  <si>
    <t>Reserve held for donating to community organisations as per the Community Grant Fund Policy</t>
  </si>
  <si>
    <t xml:space="preserve">To date, expenditure has been used for the Greening Campaign Phase 1. </t>
  </si>
  <si>
    <t>Funds from unspent 2023/24 Budget to be used for Windmill Common maintenance.</t>
  </si>
  <si>
    <t>The Precept figure is the income needed to balance the difference between the operating income and costs giving a £0 in G16 on the Budget Summary.</t>
  </si>
  <si>
    <t>FC 12/10/23</t>
  </si>
  <si>
    <t>Victoria Road Footway</t>
  </si>
  <si>
    <t>Forecast General Reserve for start of 24/25</t>
  </si>
  <si>
    <t>Actual number of months of operating costs for 24/25</t>
  </si>
  <si>
    <r>
      <t>This spreadsheet tracks CIL income and expenditure for each Financial Year, taking into account</t>
    </r>
    <r>
      <rPr>
        <sz val="12"/>
        <color rgb="FF0070C0"/>
        <rFont val="Calibri"/>
        <family val="2"/>
      </rPr>
      <t xml:space="preserve"> </t>
    </r>
    <r>
      <rPr>
        <b/>
        <sz val="12"/>
        <rFont val="Calibri"/>
        <family val="2"/>
      </rPr>
      <t>actual</t>
    </r>
    <r>
      <rPr>
        <sz val="12"/>
        <rFont val="Calibri"/>
        <family val="2"/>
      </rPr>
      <t xml:space="preserve"> </t>
    </r>
    <r>
      <rPr>
        <sz val="12"/>
        <color rgb="FF000000"/>
        <rFont val="Calibri"/>
        <family val="2"/>
      </rPr>
      <t>and</t>
    </r>
    <r>
      <rPr>
        <sz val="12"/>
        <color theme="5" tint="-0.249977111117893"/>
        <rFont val="Calibri"/>
        <family val="2"/>
      </rPr>
      <t xml:space="preserve"> </t>
    </r>
    <r>
      <rPr>
        <b/>
        <sz val="12"/>
        <color theme="4" tint="-0.249977111117893"/>
        <rFont val="Calibri"/>
        <family val="2"/>
      </rPr>
      <t>budgeted</t>
    </r>
    <r>
      <rPr>
        <sz val="12"/>
        <color rgb="FF000000"/>
        <rFont val="Calibri"/>
        <family val="2"/>
      </rPr>
      <t xml:space="preserve"> amounts.</t>
    </r>
  </si>
  <si>
    <t>101 Admin</t>
  </si>
  <si>
    <t>EMR Cycleway and Footpath</t>
  </si>
  <si>
    <t>New Code 4147</t>
  </si>
  <si>
    <t>Scarecrow Trail</t>
  </si>
  <si>
    <t>For 2024/25 includes equipment manitenace; annual tennis court clean; electricity; waste collection, remedial works, Christmas tree; water charge; and sundries (i.e. refuse sacks, tools, seed, weedkiller, locks). An additional £7,500 has been allowed for upgrading and relocating the three electrical boxes.</t>
  </si>
  <si>
    <r>
      <t>Current contract includes 12 x monthly fees based on 19 "fortnightly visits" which address a range of activities on an as required basis. SCS work towards defined quality outcomes rather than defined quantity inputs, flexing their work schedule accordingly, to delivery well maintained and attractive grounds at all times of the year. One off costs for grazing area cuts are charged for sperately - previously £139 per cut</t>
    </r>
    <r>
      <rPr>
        <sz val="12"/>
        <color rgb="FFFF0000"/>
        <rFont val="Arial"/>
        <family val="2"/>
      </rPr>
      <t xml:space="preserve">. </t>
    </r>
    <r>
      <rPr>
        <sz val="12"/>
        <rFont val="Arial"/>
        <family val="2"/>
      </rPr>
      <t>Allows for a  5% increase in costs for 2024/25.</t>
    </r>
  </si>
  <si>
    <t>RESMAJ (2 - 2B)</t>
  </si>
  <si>
    <t>YTD Figures 30/09/2023</t>
  </si>
  <si>
    <t>Community Competition</t>
  </si>
  <si>
    <t>Childrens art competition linked to the Annual Parish Meeting. Number and amount of prizes will be dependent on the number of entrants.</t>
  </si>
  <si>
    <t xml:space="preserve">Provides for a 7% increase on 2023/24 charge. Increase allows for the current 3 year plan ending in May 2024 &amp; claim made for damage bollards in 2023/2024 </t>
  </si>
  <si>
    <r>
      <t>Allows for a 5% increase in costs for 2024/25 &amp; includes: NALC; BALC; SLCC x 2; ICCM; Parish Online; CCB and LCPD.</t>
    </r>
    <r>
      <rPr>
        <sz val="10"/>
        <color rgb="FFFF0000"/>
        <rFont val="Arial"/>
        <family val="2"/>
      </rPr>
      <t xml:space="preserve"> </t>
    </r>
  </si>
  <si>
    <t>Allows for a 5% increase in costs for 2024/25 &amp; includes Council meeting hall hire and 2 x NAG meetings.</t>
  </si>
  <si>
    <r>
      <t>Annual office rent of £3,500 is fixed until 08/08/2025.</t>
    </r>
    <r>
      <rPr>
        <sz val="10"/>
        <color rgb="FFFF0000"/>
        <rFont val="Arial"/>
        <family val="2"/>
      </rPr>
      <t xml:space="preserve"> </t>
    </r>
    <r>
      <rPr>
        <sz val="10"/>
        <rFont val="Arial"/>
        <family val="2"/>
      </rPr>
      <t xml:space="preserve">Increase allows for uplift on costs for mobile phones and WiFi hotpsot and BT phone lines and internet. </t>
    </r>
  </si>
  <si>
    <t>Allows for up to 4 x quarterly reviews and updates of website accessibility in line with the Government Design System,  10% increase in costs for 2024/25 and £1,500 for website review.</t>
  </si>
  <si>
    <t xml:space="preserve">Amount for covering expenses incurred during surgeries. </t>
  </si>
  <si>
    <t>CCTV 4G Annual Charge</t>
  </si>
  <si>
    <t>Annual charge for 4G for CCTV.</t>
  </si>
  <si>
    <t>£1,500.00 for potential new defibrilator at the station and £250 for maintenance of current defibrilators.</t>
  </si>
  <si>
    <t>Software upgrade and other potential spend.</t>
  </si>
  <si>
    <t>Maintenance of fence and border.</t>
  </si>
  <si>
    <t>The Committee recommends maintaining a budget for 2024/25 of £15,000. This would be acheived by moving unspent budget from 2023/24 into an earmarked reserve and supplementing this from the Precept. The forecast spend for 2023/24 of £12,000 is for tree works, leaving a balance in the EMR of £3,000. The bulk of this and the £12,000 from the Precept  will be used for the ongoing management of Windmill Common. Other smaller budgets have been identified for the ASWC, defibrilators and work on West End Road car park.</t>
  </si>
  <si>
    <t>Check</t>
  </si>
  <si>
    <t>Phase 2b</t>
  </si>
  <si>
    <t>Phase 3 (1 of 2)</t>
  </si>
  <si>
    <t>EMR of £23,239 held as at 30/09/23. This is considered enough to cover the remaining any other expenditure for 2023/24 and costs for 2024/25. Main costs will be for the admin assistant and consultant's fees. The Steering Group estimate that all EMR funds will be spent by the nd of March 2025.</t>
  </si>
  <si>
    <t>EMR of £5,074 held as at 30/09/2023. It is assumed that there will not be an election until May 2027.</t>
  </si>
  <si>
    <t>No current EMR</t>
  </si>
  <si>
    <t>An EMR of £46,666 is held for the resurfacing of the courts. It was a stipulation of a Sport England grant, given for the previous court renovations, that money should be saved for this purpose. It is estimated that £50,000 will be required but no expenditure is predicted for 2023/24 nor 2024/25.</t>
  </si>
  <si>
    <t>As at the 31/03/2023 the EMR funds held for Windmill Common tree work/maintenance was at £0.00 but a new one will be set up for 2024/25 with the unspent budget from 2023/24 of circa £3,000</t>
  </si>
  <si>
    <t>CIL received in 2023/24</t>
  </si>
  <si>
    <t>The opening balance of £36,207 is the unspent balance of a Reserve created in 2018</t>
  </si>
  <si>
    <t xml:space="preserve">The forecast reserve of £134,715 equates to 8.68 months of operational/maintenance costs. (See C33  below)  </t>
  </si>
  <si>
    <t xml:space="preserve">Expenditure Approved and Committed and/or Likely to be Spent </t>
  </si>
  <si>
    <t>£45,400 includes other committeed amounts for which no POs have been raised to date and are highly likely to be spent. See CIL Spreadsheet for breakdown.</t>
  </si>
  <si>
    <t>It is assumed that the EMR balance of £1,000 held for the conservation boards will be spent in 2024/25.</t>
  </si>
  <si>
    <t>It is assumed that the EMR balance of £33,785 held for the cemetery extension will be spent in 2024/25.</t>
  </si>
  <si>
    <t>New code</t>
  </si>
  <si>
    <t xml:space="preserve">EMR of £4,400 held as at 30/09/23. It is currently unknown as to whether these funds will be needed but is assuumed this EMR needs to be held until the future of Garth Hall is known. </t>
  </si>
  <si>
    <t>As at 30/09/2023 an EMR of £8,357 is held. No exependiture is currently identified for 2023/24 but future projects may need consultancy advice in 2024/25.</t>
  </si>
  <si>
    <t>It is assumed that the EMR balance of £138,454 held for the cycleway and footpath will be spent in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</si>
</sst>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_(* #,##0.00_);_(* \(#,##0.00\);_(* &quot;-&quot;??_);_(@_)"/>
    <numFmt numFmtId="165" formatCode="_(* #,##0_);_(* \(#,##0\);_(* &quot;-&quot;??_);_(@_)"/>
    <numFmt numFmtId="166" formatCode="&quot;£&quot;#,##0.00"/>
    <numFmt numFmtId="167" formatCode="&quot;£&quot;#,##0"/>
  </numFmts>
  <fonts count="80"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name val="Arial"/>
      <family val="2"/>
    </font>
    <font>
      <b/>
      <sz val="12"/>
      <name val="Arial"/>
      <family val="2"/>
    </font>
    <font>
      <b/>
      <sz val="16"/>
      <color rgb="FF000000"/>
      <name val="Arial"/>
      <family val="2"/>
    </font>
    <font>
      <b/>
      <sz val="12"/>
      <color rgb="FF000000"/>
      <name val="Arial"/>
      <family val="2"/>
    </font>
    <font>
      <sz val="12"/>
      <color rgb="FF000000"/>
      <name val="Arial"/>
      <family val="2"/>
    </font>
    <font>
      <sz val="8"/>
      <name val="Calibri"/>
      <family val="2"/>
      <scheme val="minor"/>
    </font>
    <font>
      <sz val="12"/>
      <color theme="1"/>
      <name val="Arial"/>
      <family val="2"/>
    </font>
    <font>
      <u/>
      <sz val="12"/>
      <color theme="10"/>
      <name val="Calibri"/>
      <family val="2"/>
      <scheme val="minor"/>
    </font>
    <font>
      <u/>
      <sz val="12"/>
      <color theme="11"/>
      <name val="Calibri"/>
      <family val="2"/>
      <scheme val="minor"/>
    </font>
    <font>
      <sz val="12"/>
      <color indexed="8"/>
      <name val="Calibri"/>
      <family val="2"/>
    </font>
    <font>
      <b/>
      <sz val="12"/>
      <color indexed="8"/>
      <name val="Arial"/>
      <family val="2"/>
    </font>
    <font>
      <sz val="12"/>
      <color indexed="8"/>
      <name val="Arial"/>
      <family val="2"/>
    </font>
    <font>
      <b/>
      <sz val="12"/>
      <color theme="1"/>
      <name val="Arial"/>
      <family val="2"/>
    </font>
    <font>
      <b/>
      <i/>
      <sz val="12"/>
      <color rgb="FF000000"/>
      <name val="Arial"/>
      <family val="2"/>
    </font>
    <font>
      <sz val="12"/>
      <color rgb="FFFF0000"/>
      <name val="Arial"/>
      <family val="2"/>
    </font>
    <font>
      <b/>
      <sz val="14"/>
      <color theme="1"/>
      <name val="Arial"/>
      <family val="2"/>
    </font>
    <font>
      <b/>
      <sz val="12"/>
      <color rgb="FFFF0000"/>
      <name val="Arial"/>
      <family val="2"/>
    </font>
    <font>
      <sz val="12"/>
      <color rgb="FFFF0000"/>
      <name val="Calibri"/>
      <family val="2"/>
      <scheme val="minor"/>
    </font>
    <font>
      <sz val="12"/>
      <color rgb="FF00B050"/>
      <name val="Arial"/>
      <family val="2"/>
    </font>
    <font>
      <sz val="12"/>
      <color theme="9" tint="-0.249977111117893"/>
      <name val="Arial"/>
      <family val="2"/>
    </font>
    <font>
      <sz val="12"/>
      <color theme="9" tint="-0.249977111117893"/>
      <name val="Calibri"/>
      <family val="2"/>
      <scheme val="minor"/>
    </font>
    <font>
      <b/>
      <sz val="16"/>
      <name val="Arial"/>
      <family val="2"/>
    </font>
    <font>
      <b/>
      <i/>
      <sz val="12"/>
      <name val="Arial"/>
      <family val="2"/>
    </font>
    <font>
      <sz val="10"/>
      <name val="Arial"/>
      <family val="2"/>
    </font>
    <font>
      <sz val="10"/>
      <color rgb="FFFF0000"/>
      <name val="Arial"/>
      <family val="2"/>
    </font>
    <font>
      <b/>
      <sz val="10"/>
      <name val="Arial"/>
      <family val="2"/>
    </font>
    <font>
      <sz val="10"/>
      <color rgb="FF000000"/>
      <name val="Arial"/>
      <family val="2"/>
    </font>
    <font>
      <b/>
      <sz val="10"/>
      <color rgb="FFFF0000"/>
      <name val="Arial"/>
      <family val="2"/>
    </font>
    <font>
      <b/>
      <sz val="12"/>
      <color rgb="FFFF0000"/>
      <name val="Calibri"/>
      <family val="2"/>
      <scheme val="minor"/>
    </font>
    <font>
      <b/>
      <sz val="12"/>
      <color rgb="FF00B050"/>
      <name val="Arial"/>
      <family val="2"/>
    </font>
    <font>
      <b/>
      <sz val="12"/>
      <color rgb="FF0070C0"/>
      <name val="Arial"/>
      <family val="2"/>
    </font>
    <font>
      <sz val="12"/>
      <color rgb="FF0070C0"/>
      <name val="Arial"/>
      <family val="2"/>
    </font>
    <font>
      <sz val="12"/>
      <name val="Calibri"/>
      <family val="2"/>
      <scheme val="minor"/>
    </font>
    <font>
      <b/>
      <sz val="12"/>
      <color theme="0" tint="-0.249977111117893"/>
      <name val="Arial"/>
      <family val="2"/>
    </font>
    <font>
      <sz val="12"/>
      <color theme="0" tint="-0.249977111117893"/>
      <name val="Arial"/>
      <family val="2"/>
    </font>
    <font>
      <sz val="10"/>
      <color theme="0" tint="-0.249977111117893"/>
      <name val="Arial"/>
      <family val="2"/>
    </font>
    <font>
      <sz val="12"/>
      <color theme="0" tint="-0.249977111117893"/>
      <name val="Calibri"/>
      <family val="2"/>
      <scheme val="minor"/>
    </font>
    <font>
      <b/>
      <sz val="16"/>
      <color rgb="FF000000"/>
      <name val="Calibri"/>
      <family val="2"/>
    </font>
    <font>
      <b/>
      <sz val="12"/>
      <color theme="1"/>
      <name val="Calibri"/>
      <family val="2"/>
      <charset val="238"/>
      <scheme val="minor"/>
    </font>
    <font>
      <sz val="12"/>
      <color rgb="FF0070C0"/>
      <name val="Calibri"/>
      <family val="2"/>
      <scheme val="minor"/>
    </font>
    <font>
      <sz val="12"/>
      <color rgb="FF00B050"/>
      <name val="Calibri"/>
      <family val="2"/>
      <scheme val="minor"/>
    </font>
    <font>
      <sz val="11"/>
      <color rgb="FFFF0000"/>
      <name val="Arial"/>
      <family val="2"/>
    </font>
    <font>
      <b/>
      <sz val="11"/>
      <color rgb="FFFF0000"/>
      <name val="Arial"/>
      <family val="2"/>
    </font>
    <font>
      <b/>
      <sz val="12"/>
      <color theme="0" tint="-0.34998626667073579"/>
      <name val="Arial"/>
      <family val="2"/>
    </font>
    <font>
      <sz val="12"/>
      <color theme="0" tint="-0.34998626667073579"/>
      <name val="Arial"/>
      <family val="2"/>
    </font>
    <font>
      <sz val="10"/>
      <color theme="0" tint="-0.34998626667073579"/>
      <name val="Arial"/>
      <family val="2"/>
    </font>
    <font>
      <sz val="12"/>
      <color theme="0" tint="-0.34998626667073579"/>
      <name val="Calibri"/>
      <family val="2"/>
      <scheme val="minor"/>
    </font>
    <font>
      <sz val="12"/>
      <color theme="4"/>
      <name val="Arial"/>
      <family val="2"/>
    </font>
    <font>
      <sz val="12"/>
      <color rgb="FF000000"/>
      <name val="Calibri"/>
      <family val="2"/>
    </font>
    <font>
      <sz val="12"/>
      <color rgb="FF0070C0"/>
      <name val="Calibri"/>
      <family val="2"/>
    </font>
    <font>
      <sz val="11"/>
      <color rgb="FF242424"/>
      <name val="Calibri"/>
      <family val="2"/>
      <scheme val="minor"/>
    </font>
    <font>
      <sz val="12"/>
      <color theme="4"/>
      <name val="Calibri"/>
      <family val="2"/>
      <scheme val="minor"/>
    </font>
    <font>
      <sz val="12"/>
      <color theme="5"/>
      <name val="Calibri"/>
      <family val="2"/>
      <scheme val="minor"/>
    </font>
    <font>
      <b/>
      <sz val="12"/>
      <color theme="5"/>
      <name val="Calibri"/>
      <family val="2"/>
      <scheme val="minor"/>
    </font>
    <font>
      <sz val="10"/>
      <color rgb="FFC00000"/>
      <name val="Arial"/>
      <family val="2"/>
    </font>
    <font>
      <b/>
      <sz val="10"/>
      <color rgb="FFC00000"/>
      <name val="Arial"/>
      <family val="2"/>
    </font>
    <font>
      <sz val="11"/>
      <name val="Arial"/>
      <family val="2"/>
    </font>
    <font>
      <b/>
      <sz val="12"/>
      <name val="Calibri"/>
      <family val="2"/>
      <charset val="238"/>
      <scheme val="minor"/>
    </font>
    <font>
      <b/>
      <sz val="12"/>
      <name val="Calibri"/>
      <family val="2"/>
      <scheme val="minor"/>
    </font>
    <font>
      <b/>
      <sz val="12"/>
      <name val="Calibri"/>
      <family val="2"/>
    </font>
    <font>
      <sz val="12"/>
      <name val="Calibri"/>
      <family val="2"/>
    </font>
    <font>
      <sz val="12"/>
      <color theme="5" tint="-0.249977111117893"/>
      <name val="Calibri"/>
      <family val="2"/>
    </font>
    <font>
      <sz val="12"/>
      <color theme="4" tint="-0.249977111117893"/>
      <name val="Calibri"/>
      <family val="2"/>
      <scheme val="minor"/>
    </font>
    <font>
      <b/>
      <sz val="12"/>
      <color theme="4" tint="-0.249977111117893"/>
      <name val="Calibri"/>
      <family val="2"/>
      <scheme val="minor"/>
    </font>
    <font>
      <b/>
      <sz val="12"/>
      <color theme="4" tint="-0.249977111117893"/>
      <name val="Calibri"/>
      <family val="2"/>
      <charset val="238"/>
      <scheme val="minor"/>
    </font>
    <font>
      <b/>
      <sz val="16"/>
      <color theme="9"/>
      <name val="Arial"/>
      <family val="2"/>
    </font>
    <font>
      <sz val="11"/>
      <color rgb="FFFF0000"/>
      <name val="Calibri"/>
      <family val="2"/>
      <scheme val="minor"/>
    </font>
    <font>
      <b/>
      <sz val="12"/>
      <color theme="4"/>
      <name val="Arial"/>
      <family val="2"/>
    </font>
    <font>
      <sz val="12"/>
      <color theme="9"/>
      <name val="Calibri"/>
      <family val="2"/>
      <scheme val="minor"/>
    </font>
    <font>
      <b/>
      <sz val="12"/>
      <color theme="4" tint="-0.249977111117893"/>
      <name val="Calibri"/>
      <family val="2"/>
    </font>
    <font>
      <b/>
      <sz val="14"/>
      <name val="Arial"/>
      <family val="2"/>
    </font>
    <font>
      <b/>
      <sz val="11"/>
      <name val="Arial"/>
      <family val="2"/>
    </font>
    <font>
      <sz val="11"/>
      <name val="Calibri"/>
      <family val="2"/>
      <scheme val="minor"/>
    </font>
    <font>
      <b/>
      <sz val="12"/>
      <color theme="1"/>
      <name val="Calibri"/>
      <family val="2"/>
      <scheme val="minor"/>
    </font>
    <font>
      <sz val="11"/>
      <color theme="0" tint="-0.249977111117893"/>
      <name val="Arial"/>
      <family val="2"/>
    </font>
  </fonts>
  <fills count="12">
    <fill>
      <patternFill patternType="none"/>
    </fill>
    <fill>
      <patternFill patternType="gray125"/>
    </fill>
    <fill>
      <patternFill patternType="solid">
        <fgColor rgb="FFDAEEF3"/>
        <bgColor rgb="FF000000"/>
      </patternFill>
    </fill>
    <fill>
      <patternFill patternType="solid">
        <fgColor theme="8" tint="0.79998168889431442"/>
        <bgColor indexed="64"/>
      </patternFill>
    </fill>
    <fill>
      <patternFill patternType="solid">
        <fgColor rgb="FFDAEEF3"/>
        <bgColor indexed="64"/>
      </patternFill>
    </fill>
    <fill>
      <patternFill patternType="solid">
        <fgColor theme="0" tint="-0.14999847407452621"/>
        <bgColor indexed="64"/>
      </patternFill>
    </fill>
    <fill>
      <patternFill patternType="solid">
        <fgColor theme="8" tint="0.79998168889431442"/>
        <bgColor rgb="FF000000"/>
      </patternFill>
    </fill>
    <fill>
      <patternFill patternType="solid">
        <fgColor rgb="FFDDEBF7"/>
        <bgColor indexed="64"/>
      </patternFill>
    </fill>
    <fill>
      <patternFill patternType="solid">
        <fgColor theme="9"/>
        <bgColor rgb="FF000000"/>
      </patternFill>
    </fill>
    <fill>
      <patternFill patternType="solid">
        <fgColor theme="2"/>
        <bgColor indexed="64"/>
      </patternFill>
    </fill>
    <fill>
      <patternFill patternType="solid">
        <fgColor theme="9"/>
        <bgColor indexed="64"/>
      </patternFill>
    </fill>
    <fill>
      <patternFill patternType="solid">
        <fgColor rgb="FFFF0000"/>
        <bgColor indexed="64"/>
      </patternFill>
    </fill>
  </fills>
  <borders count="52">
    <border>
      <left/>
      <right/>
      <top/>
      <bottom/>
      <diagonal/>
    </border>
    <border>
      <left style="thin">
        <color rgb="FF000000"/>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rgb="FF000000"/>
      </left>
      <right/>
      <top style="thin">
        <color rgb="FF000000"/>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diagonal/>
    </border>
    <border>
      <left style="thin">
        <color rgb="FF000000"/>
      </left>
      <right/>
      <top style="medium">
        <color auto="1"/>
      </top>
      <bottom/>
      <diagonal/>
    </border>
    <border>
      <left/>
      <right style="medium">
        <color auto="1"/>
      </right>
      <top style="thin">
        <color rgb="FF000000"/>
      </top>
      <bottom style="medium">
        <color auto="1"/>
      </bottom>
      <diagonal/>
    </border>
    <border>
      <left/>
      <right/>
      <top style="thin">
        <color rgb="FF000000"/>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rgb="FF000000"/>
      </top>
      <bottom style="medium">
        <color auto="1"/>
      </bottom>
      <diagonal/>
    </border>
    <border>
      <left style="medium">
        <color auto="1"/>
      </left>
      <right style="thin">
        <color auto="1"/>
      </right>
      <top style="thin">
        <color auto="1"/>
      </top>
      <bottom style="medium">
        <color auto="1"/>
      </bottom>
      <diagonal/>
    </border>
    <border>
      <left style="thin">
        <color rgb="FF000000"/>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top/>
      <bottom style="medium">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s>
  <cellStyleXfs count="286">
    <xf numFmtId="0" fontId="0" fillId="0" borderId="0"/>
    <xf numFmtId="164" fontId="4"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9" fontId="3" fillId="0" borderId="0" applyFont="0" applyFill="0" applyBorder="0" applyAlignment="0" applyProtection="0"/>
    <xf numFmtId="0" fontId="14"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544">
    <xf numFmtId="0" fontId="0" fillId="0" borderId="0" xfId="0"/>
    <xf numFmtId="165" fontId="5" fillId="0" borderId="0" xfId="1" applyNumberFormat="1" applyFont="1" applyFill="1" applyBorder="1"/>
    <xf numFmtId="165" fontId="9" fillId="0" borderId="0" xfId="1" applyNumberFormat="1" applyFont="1" applyFill="1" applyBorder="1" applyAlignment="1">
      <alignment horizontal="left" indent="1"/>
    </xf>
    <xf numFmtId="165" fontId="9" fillId="0" borderId="0" xfId="1" applyNumberFormat="1" applyFont="1" applyFill="1" applyBorder="1"/>
    <xf numFmtId="165" fontId="6" fillId="2" borderId="5" xfId="1" applyNumberFormat="1" applyFont="1" applyFill="1" applyBorder="1"/>
    <xf numFmtId="0" fontId="15" fillId="3" borderId="3" xfId="7" applyFont="1" applyFill="1" applyBorder="1"/>
    <xf numFmtId="165" fontId="16" fillId="0" borderId="0" xfId="1" applyNumberFormat="1" applyFont="1" applyBorder="1"/>
    <xf numFmtId="0" fontId="16" fillId="0" borderId="2" xfId="7" applyFont="1" applyBorder="1"/>
    <xf numFmtId="0" fontId="15" fillId="0" borderId="2" xfId="7" applyFont="1" applyBorder="1"/>
    <xf numFmtId="0" fontId="9" fillId="0" borderId="14" xfId="1" applyNumberFormat="1" applyFont="1" applyFill="1" applyBorder="1" applyAlignment="1">
      <alignment horizontal="center"/>
    </xf>
    <xf numFmtId="165" fontId="9" fillId="0" borderId="0" xfId="1" applyNumberFormat="1" applyFont="1" applyFill="1" applyBorder="1" applyAlignment="1">
      <alignment horizontal="center"/>
    </xf>
    <xf numFmtId="0" fontId="9" fillId="2" borderId="17" xfId="1" applyNumberFormat="1" applyFont="1" applyFill="1" applyBorder="1" applyAlignment="1">
      <alignment horizontal="center"/>
    </xf>
    <xf numFmtId="165" fontId="8" fillId="2" borderId="19" xfId="1" applyNumberFormat="1" applyFont="1" applyFill="1" applyBorder="1"/>
    <xf numFmtId="0" fontId="9" fillId="0" borderId="21" xfId="1" applyNumberFormat="1" applyFont="1" applyFill="1" applyBorder="1" applyAlignment="1">
      <alignment horizontal="center"/>
    </xf>
    <xf numFmtId="165" fontId="8" fillId="0" borderId="4" xfId="1" applyNumberFormat="1" applyFont="1" applyFill="1" applyBorder="1" applyAlignment="1">
      <alignment horizontal="center"/>
    </xf>
    <xf numFmtId="165" fontId="6" fillId="0" borderId="0" xfId="1" applyNumberFormat="1" applyFont="1" applyFill="1" applyBorder="1"/>
    <xf numFmtId="0" fontId="8" fillId="0" borderId="14" xfId="1" applyNumberFormat="1" applyFont="1" applyFill="1" applyBorder="1" applyAlignment="1">
      <alignment horizontal="center"/>
    </xf>
    <xf numFmtId="0" fontId="8" fillId="0" borderId="12" xfId="1" applyNumberFormat="1" applyFont="1" applyFill="1" applyBorder="1" applyAlignment="1">
      <alignment horizontal="center"/>
    </xf>
    <xf numFmtId="165" fontId="5" fillId="0" borderId="0" xfId="1" applyNumberFormat="1" applyFont="1" applyFill="1" applyBorder="1" applyAlignment="1">
      <alignment horizontal="left" indent="1"/>
    </xf>
    <xf numFmtId="165" fontId="5" fillId="0" borderId="0" xfId="1" applyNumberFormat="1" applyFont="1" applyFill="1" applyBorder="1" applyAlignment="1">
      <alignment horizontal="left" wrapText="1" indent="1"/>
    </xf>
    <xf numFmtId="9" fontId="8" fillId="2" borderId="19" xfId="6" applyFont="1" applyFill="1" applyBorder="1" applyAlignment="1">
      <alignment horizontal="center"/>
    </xf>
    <xf numFmtId="165" fontId="6" fillId="2" borderId="19" xfId="1" applyNumberFormat="1" applyFont="1" applyFill="1" applyBorder="1"/>
    <xf numFmtId="0" fontId="9" fillId="0" borderId="29" xfId="1" applyNumberFormat="1" applyFont="1" applyFill="1" applyBorder="1" applyAlignment="1">
      <alignment horizontal="center"/>
    </xf>
    <xf numFmtId="0" fontId="8" fillId="2" borderId="30" xfId="1" applyNumberFormat="1" applyFont="1" applyFill="1" applyBorder="1" applyAlignment="1">
      <alignment horizontal="center"/>
    </xf>
    <xf numFmtId="0" fontId="5" fillId="0" borderId="21" xfId="0" applyFont="1" applyBorder="1" applyAlignment="1">
      <alignment vertical="center" wrapText="1"/>
    </xf>
    <xf numFmtId="0" fontId="6" fillId="4" borderId="32" xfId="0" applyFont="1" applyFill="1" applyBorder="1" applyAlignment="1">
      <alignment vertical="center" wrapText="1"/>
    </xf>
    <xf numFmtId="165" fontId="6" fillId="2" borderId="17" xfId="1" applyNumberFormat="1" applyFont="1" applyFill="1" applyBorder="1" applyAlignment="1">
      <alignment horizontal="center"/>
    </xf>
    <xf numFmtId="9" fontId="9" fillId="0" borderId="0" xfId="6" applyFont="1" applyFill="1" applyBorder="1" applyAlignment="1">
      <alignment horizontal="center"/>
    </xf>
    <xf numFmtId="9" fontId="6" fillId="2" borderId="19" xfId="6" applyFont="1" applyFill="1" applyBorder="1" applyAlignment="1">
      <alignment horizontal="center"/>
    </xf>
    <xf numFmtId="0" fontId="8" fillId="0" borderId="21" xfId="1" applyNumberFormat="1" applyFont="1" applyFill="1" applyBorder="1" applyAlignment="1">
      <alignment horizontal="center"/>
    </xf>
    <xf numFmtId="0" fontId="9" fillId="2" borderId="33" xfId="1" applyNumberFormat="1" applyFont="1" applyFill="1" applyBorder="1" applyAlignment="1">
      <alignment horizontal="center"/>
    </xf>
    <xf numFmtId="165" fontId="9" fillId="0" borderId="8" xfId="1" applyNumberFormat="1" applyFont="1" applyFill="1" applyBorder="1" applyAlignment="1">
      <alignment horizontal="left" indent="1"/>
    </xf>
    <xf numFmtId="165" fontId="9" fillId="0" borderId="8" xfId="1" applyNumberFormat="1" applyFont="1" applyFill="1" applyBorder="1"/>
    <xf numFmtId="165" fontId="9" fillId="0" borderId="8" xfId="1" applyNumberFormat="1" applyFont="1" applyFill="1" applyBorder="1" applyAlignment="1">
      <alignment horizontal="center"/>
    </xf>
    <xf numFmtId="0" fontId="8" fillId="0" borderId="14" xfId="1" quotePrefix="1" applyNumberFormat="1" applyFont="1" applyFill="1" applyBorder="1" applyAlignment="1">
      <alignment horizontal="center"/>
    </xf>
    <xf numFmtId="165" fontId="5" fillId="0" borderId="4" xfId="1" applyNumberFormat="1" applyFont="1" applyFill="1" applyBorder="1" applyAlignment="1">
      <alignment horizontal="left" wrapText="1" indent="1"/>
    </xf>
    <xf numFmtId="0" fontId="9" fillId="0" borderId="31" xfId="1" applyNumberFormat="1" applyFont="1" applyFill="1" applyBorder="1" applyAlignment="1">
      <alignment horizontal="center"/>
    </xf>
    <xf numFmtId="0" fontId="15" fillId="0" borderId="0" xfId="7" applyFont="1"/>
    <xf numFmtId="0" fontId="16" fillId="0" borderId="11" xfId="7" applyFont="1" applyBorder="1"/>
    <xf numFmtId="165" fontId="16" fillId="0" borderId="0" xfId="1" applyNumberFormat="1" applyFont="1" applyFill="1" applyBorder="1"/>
    <xf numFmtId="165" fontId="11" fillId="0" borderId="0" xfId="1" applyNumberFormat="1" applyFont="1" applyFill="1" applyBorder="1"/>
    <xf numFmtId="165" fontId="6" fillId="0" borderId="4" xfId="1" applyNumberFormat="1" applyFont="1" applyFill="1" applyBorder="1"/>
    <xf numFmtId="0" fontId="9" fillId="0" borderId="39" xfId="1" applyNumberFormat="1" applyFont="1" applyFill="1" applyBorder="1" applyAlignment="1">
      <alignment horizontal="center"/>
    </xf>
    <xf numFmtId="0" fontId="8" fillId="0" borderId="31" xfId="1" applyNumberFormat="1" applyFont="1" applyFill="1" applyBorder="1" applyAlignment="1">
      <alignment horizontal="center"/>
    </xf>
    <xf numFmtId="165" fontId="5" fillId="0" borderId="0" xfId="1" applyNumberFormat="1" applyFont="1" applyBorder="1"/>
    <xf numFmtId="0" fontId="15" fillId="4" borderId="6" xfId="7" applyFont="1" applyFill="1" applyBorder="1"/>
    <xf numFmtId="165" fontId="0" fillId="0" borderId="0" xfId="0" applyNumberFormat="1"/>
    <xf numFmtId="0" fontId="15" fillId="0" borderId="14" xfId="7" applyFont="1" applyBorder="1" applyAlignment="1">
      <alignment horizontal="center"/>
    </xf>
    <xf numFmtId="0" fontId="15" fillId="3" borderId="12" xfId="7" applyFont="1" applyFill="1" applyBorder="1" applyAlignment="1">
      <alignment horizontal="center"/>
    </xf>
    <xf numFmtId="0" fontId="16" fillId="0" borderId="14" xfId="7" applyFont="1" applyBorder="1" applyAlignment="1">
      <alignment horizontal="center"/>
    </xf>
    <xf numFmtId="0" fontId="15" fillId="3" borderId="15" xfId="7" applyFont="1" applyFill="1" applyBorder="1" applyAlignment="1">
      <alignment horizontal="center"/>
    </xf>
    <xf numFmtId="0" fontId="15" fillId="4" borderId="22" xfId="7" applyFont="1" applyFill="1" applyBorder="1" applyAlignment="1">
      <alignment horizontal="center"/>
    </xf>
    <xf numFmtId="49" fontId="9" fillId="0" borderId="0" xfId="1" applyNumberFormat="1" applyFont="1" applyFill="1" applyBorder="1" applyAlignment="1">
      <alignment horizontal="left" indent="1"/>
    </xf>
    <xf numFmtId="49" fontId="5" fillId="0" borderId="2" xfId="1" applyNumberFormat="1" applyFont="1" applyFill="1" applyBorder="1" applyAlignment="1">
      <alignment horizontal="left" indent="1"/>
    </xf>
    <xf numFmtId="49" fontId="5" fillId="0" borderId="2" xfId="0" applyNumberFormat="1" applyFont="1" applyBorder="1" applyAlignment="1">
      <alignment horizontal="left" wrapText="1" indent="1"/>
    </xf>
    <xf numFmtId="49" fontId="6" fillId="2" borderId="18" xfId="0" applyNumberFormat="1" applyFont="1" applyFill="1" applyBorder="1" applyAlignment="1">
      <alignment horizontal="left" wrapText="1" indent="1"/>
    </xf>
    <xf numFmtId="49" fontId="5" fillId="0" borderId="3" xfId="1" applyNumberFormat="1" applyFont="1" applyFill="1" applyBorder="1" applyAlignment="1">
      <alignment horizontal="left" indent="1"/>
    </xf>
    <xf numFmtId="49" fontId="5" fillId="0" borderId="3" xfId="0" applyNumberFormat="1" applyFont="1" applyBorder="1" applyAlignment="1">
      <alignment horizontal="left" wrapText="1" indent="1"/>
    </xf>
    <xf numFmtId="49" fontId="6" fillId="2" borderId="6" xfId="0" applyNumberFormat="1" applyFont="1" applyFill="1" applyBorder="1" applyAlignment="1">
      <alignment horizontal="left" wrapText="1" indent="1"/>
    </xf>
    <xf numFmtId="49" fontId="6" fillId="2" borderId="5" xfId="0" applyNumberFormat="1" applyFont="1" applyFill="1" applyBorder="1" applyAlignment="1">
      <alignment horizontal="left" wrapText="1" indent="1"/>
    </xf>
    <xf numFmtId="49" fontId="6" fillId="2" borderId="28" xfId="0" applyNumberFormat="1" applyFont="1" applyFill="1" applyBorder="1" applyAlignment="1">
      <alignment horizontal="left" wrapText="1" indent="1"/>
    </xf>
    <xf numFmtId="49" fontId="9" fillId="0" borderId="8" xfId="1" applyNumberFormat="1" applyFont="1" applyFill="1" applyBorder="1" applyAlignment="1">
      <alignment horizontal="left" indent="1"/>
    </xf>
    <xf numFmtId="49" fontId="6" fillId="2" borderId="34" xfId="0" applyNumberFormat="1" applyFont="1" applyFill="1" applyBorder="1" applyAlignment="1">
      <alignment horizontal="left" wrapText="1" indent="1"/>
    </xf>
    <xf numFmtId="49" fontId="9" fillId="0" borderId="9" xfId="1" applyNumberFormat="1" applyFont="1" applyFill="1" applyBorder="1" applyAlignment="1">
      <alignment horizontal="left" indent="1"/>
    </xf>
    <xf numFmtId="49" fontId="8" fillId="0" borderId="0" xfId="0" applyNumberFormat="1" applyFont="1" applyAlignment="1">
      <alignment horizontal="left" indent="1"/>
    </xf>
    <xf numFmtId="49" fontId="0" fillId="0" borderId="0" xfId="0" applyNumberFormat="1"/>
    <xf numFmtId="49" fontId="6" fillId="2" borderId="28" xfId="0" applyNumberFormat="1" applyFont="1" applyFill="1" applyBorder="1" applyAlignment="1">
      <alignment wrapText="1"/>
    </xf>
    <xf numFmtId="49" fontId="9" fillId="0" borderId="2" xfId="1" applyNumberFormat="1" applyFont="1" applyFill="1" applyBorder="1" applyAlignment="1">
      <alignment horizontal="left" indent="1"/>
    </xf>
    <xf numFmtId="0" fontId="8" fillId="4" borderId="15" xfId="1" applyNumberFormat="1" applyFont="1" applyFill="1" applyBorder="1" applyAlignment="1">
      <alignment horizontal="center"/>
    </xf>
    <xf numFmtId="49" fontId="6" fillId="4" borderId="6" xfId="1" applyNumberFormat="1" applyFont="1" applyFill="1" applyBorder="1" applyAlignment="1">
      <alignment horizontal="left" indent="1"/>
    </xf>
    <xf numFmtId="165" fontId="6" fillId="4" borderId="5" xfId="1" applyNumberFormat="1" applyFont="1" applyFill="1" applyBorder="1" applyAlignment="1">
      <alignment horizontal="left" indent="1"/>
    </xf>
    <xf numFmtId="49" fontId="11" fillId="0" borderId="0" xfId="0" applyNumberFormat="1" applyFont="1" applyAlignment="1">
      <alignment horizontal="left" indent="1"/>
    </xf>
    <xf numFmtId="49" fontId="17" fillId="4" borderId="19" xfId="0" applyNumberFormat="1" applyFont="1" applyFill="1" applyBorder="1" applyAlignment="1">
      <alignment horizontal="left" indent="1"/>
    </xf>
    <xf numFmtId="0" fontId="0" fillId="0" borderId="0" xfId="0" applyAlignment="1">
      <alignment horizontal="center"/>
    </xf>
    <xf numFmtId="0" fontId="11" fillId="0" borderId="14" xfId="0" applyFont="1" applyBorder="1" applyAlignment="1">
      <alignment horizontal="center"/>
    </xf>
    <xf numFmtId="0" fontId="17" fillId="4" borderId="17" xfId="0" applyFont="1" applyFill="1" applyBorder="1" applyAlignment="1">
      <alignment horizontal="center"/>
    </xf>
    <xf numFmtId="49" fontId="9" fillId="0" borderId="4" xfId="1" applyNumberFormat="1" applyFont="1" applyFill="1" applyBorder="1" applyAlignment="1">
      <alignment horizontal="left" indent="1"/>
    </xf>
    <xf numFmtId="165" fontId="8" fillId="0" borderId="4" xfId="1" applyNumberFormat="1" applyFont="1" applyFill="1" applyBorder="1"/>
    <xf numFmtId="9" fontId="8" fillId="0" borderId="4" xfId="6" applyFont="1" applyFill="1" applyBorder="1" applyAlignment="1">
      <alignment horizontal="center"/>
    </xf>
    <xf numFmtId="0" fontId="8" fillId="0" borderId="15" xfId="1" applyNumberFormat="1" applyFont="1" applyFill="1" applyBorder="1" applyAlignment="1">
      <alignment horizontal="center"/>
    </xf>
    <xf numFmtId="9" fontId="8" fillId="0" borderId="5" xfId="6" applyFont="1" applyFill="1" applyBorder="1" applyAlignment="1">
      <alignment horizontal="center"/>
    </xf>
    <xf numFmtId="0" fontId="8" fillId="0" borderId="30" xfId="1" applyNumberFormat="1" applyFont="1" applyFill="1" applyBorder="1" applyAlignment="1">
      <alignment horizontal="center"/>
    </xf>
    <xf numFmtId="165" fontId="8" fillId="0" borderId="5" xfId="1" applyNumberFormat="1" applyFont="1" applyFill="1" applyBorder="1"/>
    <xf numFmtId="49" fontId="9" fillId="0" borderId="5" xfId="1" applyNumberFormat="1" applyFont="1" applyFill="1" applyBorder="1" applyAlignment="1">
      <alignment horizontal="left" indent="1"/>
    </xf>
    <xf numFmtId="49" fontId="5" fillId="0" borderId="4" xfId="0" applyNumberFormat="1" applyFont="1" applyBorder="1" applyAlignment="1">
      <alignment horizontal="left" wrapText="1" indent="1"/>
    </xf>
    <xf numFmtId="165" fontId="6" fillId="3" borderId="19" xfId="1" applyNumberFormat="1" applyFont="1" applyFill="1" applyBorder="1"/>
    <xf numFmtId="165" fontId="6" fillId="0" borderId="4" xfId="1" applyNumberFormat="1" applyFont="1" applyFill="1" applyBorder="1" applyAlignment="1">
      <alignment horizontal="center"/>
    </xf>
    <xf numFmtId="165" fontId="9" fillId="0" borderId="43" xfId="1" applyNumberFormat="1" applyFont="1" applyFill="1" applyBorder="1" applyAlignment="1">
      <alignment horizontal="center"/>
    </xf>
    <xf numFmtId="49" fontId="11" fillId="0" borderId="11" xfId="0" applyNumberFormat="1" applyFont="1" applyBorder="1" applyAlignment="1">
      <alignment horizontal="left" wrapText="1" indent="1"/>
    </xf>
    <xf numFmtId="0" fontId="15" fillId="4" borderId="40" xfId="7" applyFont="1" applyFill="1" applyBorder="1" applyAlignment="1">
      <alignment wrapText="1"/>
    </xf>
    <xf numFmtId="0" fontId="17" fillId="0" borderId="14" xfId="0" applyFont="1" applyBorder="1" applyAlignment="1">
      <alignment horizontal="center"/>
    </xf>
    <xf numFmtId="49" fontId="17" fillId="0" borderId="0" xfId="0" applyNumberFormat="1" applyFont="1" applyAlignment="1">
      <alignment horizontal="left" indent="1"/>
    </xf>
    <xf numFmtId="165" fontId="5" fillId="0" borderId="0" xfId="1" applyNumberFormat="1" applyFont="1" applyFill="1" applyBorder="1" applyAlignment="1">
      <alignment horizontal="center"/>
    </xf>
    <xf numFmtId="165" fontId="6" fillId="0" borderId="0" xfId="1" applyNumberFormat="1" applyFont="1" applyFill="1" applyBorder="1" applyAlignment="1">
      <alignment horizontal="left" indent="1"/>
    </xf>
    <xf numFmtId="0" fontId="0" fillId="5" borderId="36" xfId="0" applyFill="1" applyBorder="1"/>
    <xf numFmtId="165" fontId="0" fillId="5" borderId="38" xfId="0" applyNumberFormat="1" applyFill="1" applyBorder="1"/>
    <xf numFmtId="0" fontId="15" fillId="0" borderId="11" xfId="7" applyFont="1" applyBorder="1"/>
    <xf numFmtId="49" fontId="5" fillId="0" borderId="11" xfId="7" applyNumberFormat="1" applyFont="1" applyBorder="1"/>
    <xf numFmtId="49" fontId="16" fillId="0" borderId="11" xfId="7" applyNumberFormat="1" applyFont="1" applyBorder="1"/>
    <xf numFmtId="49" fontId="6" fillId="0" borderId="6" xfId="0" applyNumberFormat="1" applyFont="1" applyBorder="1" applyAlignment="1">
      <alignment horizontal="left" wrapText="1" indent="1"/>
    </xf>
    <xf numFmtId="165" fontId="6" fillId="0" borderId="5" xfId="1" applyNumberFormat="1" applyFont="1" applyFill="1" applyBorder="1"/>
    <xf numFmtId="49" fontId="6" fillId="0" borderId="4" xfId="0" applyNumberFormat="1" applyFont="1" applyBorder="1" applyAlignment="1">
      <alignment horizontal="left" wrapText="1" indent="1"/>
    </xf>
    <xf numFmtId="0" fontId="22" fillId="0" borderId="0" xfId="0" applyFont="1" applyAlignment="1">
      <alignment wrapText="1"/>
    </xf>
    <xf numFmtId="9" fontId="0" fillId="0" borderId="0" xfId="0" applyNumberFormat="1" applyAlignment="1">
      <alignment horizontal="center"/>
    </xf>
    <xf numFmtId="9" fontId="16" fillId="0" borderId="0" xfId="1" applyNumberFormat="1" applyFont="1" applyBorder="1" applyAlignment="1">
      <alignment horizontal="center"/>
    </xf>
    <xf numFmtId="165" fontId="16" fillId="0" borderId="0" xfId="1" applyNumberFormat="1" applyFont="1" applyBorder="1" applyAlignment="1">
      <alignment horizontal="center"/>
    </xf>
    <xf numFmtId="9" fontId="15" fillId="3" borderId="4" xfId="1" applyNumberFormat="1" applyFont="1" applyFill="1" applyBorder="1" applyAlignment="1">
      <alignment horizontal="center"/>
    </xf>
    <xf numFmtId="9" fontId="15" fillId="0" borderId="0" xfId="1" applyNumberFormat="1" applyFont="1" applyFill="1" applyBorder="1" applyAlignment="1">
      <alignment horizontal="center"/>
    </xf>
    <xf numFmtId="9" fontId="11" fillId="0" borderId="0" xfId="1" applyNumberFormat="1" applyFont="1" applyBorder="1" applyAlignment="1">
      <alignment horizontal="center"/>
    </xf>
    <xf numFmtId="9" fontId="5" fillId="0" borderId="0" xfId="1" applyNumberFormat="1" applyFont="1" applyBorder="1" applyAlignment="1">
      <alignment horizontal="center"/>
    </xf>
    <xf numFmtId="9" fontId="15" fillId="3" borderId="5" xfId="1" applyNumberFormat="1" applyFont="1" applyFill="1" applyBorder="1" applyAlignment="1">
      <alignment horizontal="center"/>
    </xf>
    <xf numFmtId="9" fontId="15" fillId="0" borderId="0" xfId="7" applyNumberFormat="1" applyFont="1" applyAlignment="1">
      <alignment horizontal="center"/>
    </xf>
    <xf numFmtId="9" fontId="5" fillId="0" borderId="0" xfId="1" applyNumberFormat="1" applyFont="1" applyFill="1" applyBorder="1" applyAlignment="1">
      <alignment horizontal="center"/>
    </xf>
    <xf numFmtId="9" fontId="6" fillId="2" borderId="5" xfId="1" applyNumberFormat="1" applyFont="1" applyFill="1" applyBorder="1" applyAlignment="1">
      <alignment horizontal="center"/>
    </xf>
    <xf numFmtId="9" fontId="6" fillId="4" borderId="5" xfId="1" applyNumberFormat="1" applyFont="1" applyFill="1" applyBorder="1" applyAlignment="1">
      <alignment horizontal="center"/>
    </xf>
    <xf numFmtId="0" fontId="9" fillId="0" borderId="39" xfId="284" applyNumberFormat="1" applyFont="1" applyFill="1" applyBorder="1" applyAlignment="1">
      <alignment horizontal="center"/>
    </xf>
    <xf numFmtId="49" fontId="5" fillId="0" borderId="43" xfId="1" applyNumberFormat="1" applyFont="1" applyFill="1" applyBorder="1" applyAlignment="1">
      <alignment horizontal="left" indent="1"/>
    </xf>
    <xf numFmtId="165" fontId="6" fillId="0" borderId="43" xfId="1" applyNumberFormat="1" applyFont="1" applyFill="1" applyBorder="1" applyAlignment="1">
      <alignment horizontal="center"/>
    </xf>
    <xf numFmtId="9" fontId="8" fillId="0" borderId="43" xfId="6" applyFont="1" applyFill="1" applyBorder="1" applyAlignment="1">
      <alignment horizontal="center"/>
    </xf>
    <xf numFmtId="0" fontId="8" fillId="0" borderId="39" xfId="1" applyNumberFormat="1" applyFont="1" applyFill="1" applyBorder="1" applyAlignment="1">
      <alignment horizontal="center"/>
    </xf>
    <xf numFmtId="165" fontId="6" fillId="3" borderId="5" xfId="1" applyNumberFormat="1" applyFont="1" applyFill="1" applyBorder="1"/>
    <xf numFmtId="165" fontId="6" fillId="3" borderId="4" xfId="1" applyNumberFormat="1" applyFont="1" applyFill="1" applyBorder="1"/>
    <xf numFmtId="165" fontId="23" fillId="0" borderId="0" xfId="1" applyNumberFormat="1" applyFont="1" applyFill="1" applyBorder="1"/>
    <xf numFmtId="9" fontId="9" fillId="0" borderId="0" xfId="6" applyFont="1" applyFill="1" applyBorder="1"/>
    <xf numFmtId="165" fontId="21" fillId="0" borderId="0" xfId="1" applyNumberFormat="1" applyFont="1" applyFill="1" applyBorder="1"/>
    <xf numFmtId="9" fontId="6" fillId="2" borderId="23" xfId="6" applyFont="1" applyFill="1" applyBorder="1" applyAlignment="1">
      <alignment horizontal="center"/>
    </xf>
    <xf numFmtId="0" fontId="25" fillId="0" borderId="0" xfId="0" applyFont="1"/>
    <xf numFmtId="49" fontId="24" fillId="3" borderId="16" xfId="7" applyNumberFormat="1" applyFont="1" applyFill="1" applyBorder="1" applyAlignment="1">
      <alignment wrapText="1"/>
    </xf>
    <xf numFmtId="165" fontId="19" fillId="0" borderId="0" xfId="1" applyNumberFormat="1" applyFont="1" applyFill="1" applyBorder="1"/>
    <xf numFmtId="49" fontId="16" fillId="3" borderId="13" xfId="7" applyNumberFormat="1" applyFont="1" applyFill="1" applyBorder="1" applyAlignment="1">
      <alignment wrapText="1"/>
    </xf>
    <xf numFmtId="49" fontId="29" fillId="0" borderId="11" xfId="1" applyNumberFormat="1" applyFont="1" applyFill="1" applyBorder="1" applyAlignment="1">
      <alignment horizontal="left" indent="1"/>
    </xf>
    <xf numFmtId="49" fontId="29" fillId="0" borderId="13" xfId="1" applyNumberFormat="1" applyFont="1" applyFill="1" applyBorder="1" applyAlignment="1">
      <alignment horizontal="left" wrapText="1" indent="1"/>
    </xf>
    <xf numFmtId="49" fontId="29" fillId="0" borderId="11" xfId="1" applyNumberFormat="1" applyFont="1" applyFill="1" applyBorder="1" applyAlignment="1">
      <alignment horizontal="left" wrapText="1" indent="1"/>
    </xf>
    <xf numFmtId="49" fontId="28" fillId="0" borderId="11" xfId="1" applyNumberFormat="1" applyFont="1" applyFill="1" applyBorder="1" applyAlignment="1">
      <alignment horizontal="left" indent="1"/>
    </xf>
    <xf numFmtId="49" fontId="31" fillId="2" borderId="20" xfId="1" applyNumberFormat="1" applyFont="1" applyFill="1" applyBorder="1" applyAlignment="1">
      <alignment horizontal="left" indent="1"/>
    </xf>
    <xf numFmtId="9" fontId="21" fillId="4" borderId="23" xfId="1" applyNumberFormat="1" applyFont="1" applyFill="1" applyBorder="1" applyAlignment="1">
      <alignment horizontal="center"/>
    </xf>
    <xf numFmtId="49" fontId="6" fillId="3" borderId="24" xfId="1" applyNumberFormat="1" applyFont="1" applyFill="1" applyBorder="1" applyAlignment="1">
      <alignment wrapText="1"/>
    </xf>
    <xf numFmtId="49" fontId="19" fillId="0" borderId="11" xfId="1" applyNumberFormat="1" applyFont="1" applyFill="1" applyBorder="1" applyAlignment="1">
      <alignment horizontal="left" indent="1"/>
    </xf>
    <xf numFmtId="49" fontId="5" fillId="0" borderId="4" xfId="1" applyNumberFormat="1" applyFont="1" applyFill="1" applyBorder="1" applyAlignment="1">
      <alignment horizontal="left" indent="1"/>
    </xf>
    <xf numFmtId="49" fontId="5" fillId="0" borderId="16" xfId="1" applyNumberFormat="1" applyFont="1" applyFill="1" applyBorder="1" applyAlignment="1">
      <alignment horizontal="center"/>
    </xf>
    <xf numFmtId="49" fontId="19" fillId="0" borderId="25" xfId="1" applyNumberFormat="1" applyFont="1" applyFill="1" applyBorder="1" applyAlignment="1">
      <alignment horizontal="left" wrapText="1" indent="1"/>
    </xf>
    <xf numFmtId="49" fontId="21" fillId="2" borderId="27" xfId="1" applyNumberFormat="1" applyFont="1" applyFill="1" applyBorder="1" applyAlignment="1">
      <alignment horizontal="left" wrapText="1" indent="1"/>
    </xf>
    <xf numFmtId="165" fontId="21" fillId="3" borderId="19" xfId="1" applyNumberFormat="1" applyFont="1" applyFill="1" applyBorder="1"/>
    <xf numFmtId="0" fontId="22" fillId="0" borderId="0" xfId="0" applyFont="1"/>
    <xf numFmtId="166" fontId="22" fillId="7" borderId="0" xfId="0" applyNumberFormat="1" applyFont="1" applyFill="1"/>
    <xf numFmtId="167" fontId="22" fillId="7" borderId="0" xfId="0" applyNumberFormat="1" applyFont="1" applyFill="1"/>
    <xf numFmtId="2" fontId="33" fillId="7" borderId="0" xfId="0" applyNumberFormat="1" applyFont="1" applyFill="1"/>
    <xf numFmtId="49" fontId="29" fillId="0" borderId="16" xfId="1" applyNumberFormat="1" applyFont="1" applyFill="1" applyBorder="1" applyAlignment="1">
      <alignment horizontal="left" wrapText="1" indent="1"/>
    </xf>
    <xf numFmtId="49" fontId="32" fillId="0" borderId="13" xfId="1" applyNumberFormat="1" applyFont="1" applyFill="1" applyBorder="1" applyAlignment="1">
      <alignment horizontal="left" indent="1"/>
    </xf>
    <xf numFmtId="49" fontId="32" fillId="2" borderId="16" xfId="1" applyNumberFormat="1" applyFont="1" applyFill="1" applyBorder="1" applyAlignment="1">
      <alignment horizontal="left" indent="1"/>
    </xf>
    <xf numFmtId="49" fontId="19" fillId="2" borderId="20" xfId="1" applyNumberFormat="1" applyFont="1" applyFill="1" applyBorder="1" applyAlignment="1">
      <alignment horizontal="left" indent="1"/>
    </xf>
    <xf numFmtId="49" fontId="19" fillId="0" borderId="11" xfId="1" applyNumberFormat="1" applyFont="1" applyFill="1" applyBorder="1" applyAlignment="1">
      <alignment horizontal="left" wrapText="1" indent="1"/>
    </xf>
    <xf numFmtId="49" fontId="19" fillId="0" borderId="13" xfId="1" applyNumberFormat="1" applyFont="1" applyFill="1" applyBorder="1" applyAlignment="1">
      <alignment horizontal="left" wrapText="1" indent="1"/>
    </xf>
    <xf numFmtId="49" fontId="19" fillId="2" borderId="20" xfId="1" applyNumberFormat="1" applyFont="1" applyFill="1" applyBorder="1" applyAlignment="1">
      <alignment horizontal="left" wrapText="1" indent="1"/>
    </xf>
    <xf numFmtId="165" fontId="34" fillId="0" borderId="4" xfId="1" applyNumberFormat="1" applyFont="1" applyFill="1" applyBorder="1" applyAlignment="1">
      <alignment horizontal="center"/>
    </xf>
    <xf numFmtId="165" fontId="34" fillId="0" borderId="4" xfId="1" applyNumberFormat="1" applyFont="1" applyFill="1" applyBorder="1"/>
    <xf numFmtId="165" fontId="23" fillId="0" borderId="0" xfId="1" applyNumberFormat="1" applyFont="1" applyFill="1" applyBorder="1" applyAlignment="1">
      <alignment horizontal="center"/>
    </xf>
    <xf numFmtId="165" fontId="34" fillId="3" borderId="19" xfId="1" applyNumberFormat="1" applyFont="1" applyFill="1" applyBorder="1"/>
    <xf numFmtId="165" fontId="35" fillId="0" borderId="4" xfId="1" applyNumberFormat="1" applyFont="1" applyFill="1" applyBorder="1"/>
    <xf numFmtId="165" fontId="36" fillId="0" borderId="0" xfId="1" applyNumberFormat="1" applyFont="1" applyFill="1" applyBorder="1"/>
    <xf numFmtId="165" fontId="35" fillId="3" borderId="19" xfId="1" applyNumberFormat="1" applyFont="1" applyFill="1" applyBorder="1"/>
    <xf numFmtId="0" fontId="37" fillId="0" borderId="0" xfId="0" applyFont="1"/>
    <xf numFmtId="165" fontId="6" fillId="0" borderId="0" xfId="1" applyNumberFormat="1" applyFont="1" applyFill="1" applyBorder="1" applyAlignment="1">
      <alignment horizontal="center"/>
    </xf>
    <xf numFmtId="165" fontId="35" fillId="0" borderId="0" xfId="1" applyNumberFormat="1" applyFont="1" applyFill="1" applyBorder="1"/>
    <xf numFmtId="165" fontId="35" fillId="0" borderId="5" xfId="1" applyNumberFormat="1" applyFont="1" applyFill="1" applyBorder="1"/>
    <xf numFmtId="165" fontId="35" fillId="2" borderId="5" xfId="1" applyNumberFormat="1" applyFont="1" applyFill="1" applyBorder="1"/>
    <xf numFmtId="165" fontId="35" fillId="3" borderId="4" xfId="1" applyNumberFormat="1" applyFont="1" applyFill="1" applyBorder="1"/>
    <xf numFmtId="165" fontId="34" fillId="0" borderId="0" xfId="1" applyNumberFormat="1" applyFont="1" applyFill="1" applyBorder="1" applyAlignment="1">
      <alignment horizontal="center"/>
    </xf>
    <xf numFmtId="165" fontId="34" fillId="0" borderId="5" xfId="1" applyNumberFormat="1" applyFont="1" applyFill="1" applyBorder="1"/>
    <xf numFmtId="165" fontId="34" fillId="6" borderId="5" xfId="1" applyNumberFormat="1" applyFont="1" applyFill="1" applyBorder="1"/>
    <xf numFmtId="165" fontId="34" fillId="6" borderId="19" xfId="1" applyNumberFormat="1" applyFont="1" applyFill="1" applyBorder="1"/>
    <xf numFmtId="9" fontId="5" fillId="0" borderId="0" xfId="6" applyFont="1" applyFill="1" applyBorder="1" applyAlignment="1">
      <alignment horizontal="center"/>
    </xf>
    <xf numFmtId="9" fontId="6" fillId="0" borderId="4" xfId="6" applyFont="1" applyFill="1" applyBorder="1" applyAlignment="1">
      <alignment horizontal="center"/>
    </xf>
    <xf numFmtId="9" fontId="6" fillId="0" borderId="0" xfId="6" applyFont="1" applyFill="1" applyBorder="1" applyAlignment="1">
      <alignment horizontal="center"/>
    </xf>
    <xf numFmtId="9" fontId="5" fillId="0" borderId="4" xfId="6" applyFont="1" applyFill="1" applyBorder="1" applyAlignment="1">
      <alignment horizontal="center"/>
    </xf>
    <xf numFmtId="9" fontId="6" fillId="0" borderId="5" xfId="6" applyFont="1" applyFill="1" applyBorder="1" applyAlignment="1">
      <alignment horizontal="center"/>
    </xf>
    <xf numFmtId="9" fontId="6" fillId="2" borderId="5" xfId="6" applyFont="1" applyFill="1" applyBorder="1" applyAlignment="1">
      <alignment horizontal="center"/>
    </xf>
    <xf numFmtId="165" fontId="6" fillId="0" borderId="4" xfId="1" applyNumberFormat="1" applyFont="1" applyFill="1" applyBorder="1" applyAlignment="1">
      <alignment horizontal="left" indent="1"/>
    </xf>
    <xf numFmtId="165" fontId="35" fillId="3" borderId="5" xfId="1" applyNumberFormat="1" applyFont="1" applyFill="1" applyBorder="1"/>
    <xf numFmtId="165" fontId="35" fillId="3" borderId="5" xfId="1" applyNumberFormat="1" applyFont="1" applyFill="1" applyBorder="1" applyAlignment="1">
      <alignment horizontal="left" indent="1"/>
    </xf>
    <xf numFmtId="165" fontId="34" fillId="3" borderId="5" xfId="1" applyNumberFormat="1" applyFont="1" applyFill="1" applyBorder="1" applyAlignment="1">
      <alignment horizontal="left" indent="1"/>
    </xf>
    <xf numFmtId="10" fontId="5" fillId="0" borderId="0" xfId="1" applyNumberFormat="1" applyFont="1" applyFill="1" applyBorder="1" applyAlignment="1">
      <alignment horizontal="center"/>
    </xf>
    <xf numFmtId="9" fontId="6" fillId="2" borderId="19" xfId="1" applyNumberFormat="1" applyFont="1" applyFill="1" applyBorder="1" applyAlignment="1">
      <alignment horizontal="center"/>
    </xf>
    <xf numFmtId="165" fontId="23" fillId="0" borderId="0" xfId="1" applyNumberFormat="1" applyFont="1" applyFill="1" applyBorder="1" applyAlignment="1">
      <alignment horizontal="right"/>
    </xf>
    <xf numFmtId="165" fontId="6" fillId="4" borderId="23" xfId="1" applyNumberFormat="1" applyFont="1" applyFill="1" applyBorder="1"/>
    <xf numFmtId="164" fontId="5" fillId="0" borderId="0" xfId="1" applyFont="1" applyFill="1" applyBorder="1"/>
    <xf numFmtId="164" fontId="36" fillId="0" borderId="0" xfId="1" applyFont="1" applyFill="1" applyBorder="1"/>
    <xf numFmtId="164" fontId="23" fillId="0" borderId="0" xfId="1" applyFont="1" applyFill="1" applyBorder="1"/>
    <xf numFmtId="165" fontId="34" fillId="0" borderId="0" xfId="1" applyNumberFormat="1" applyFont="1" applyFill="1" applyBorder="1"/>
    <xf numFmtId="165" fontId="36" fillId="0" borderId="0" xfId="1" applyNumberFormat="1" applyFont="1" applyBorder="1"/>
    <xf numFmtId="165" fontId="35" fillId="4" borderId="23" xfId="1" applyNumberFormat="1" applyFont="1" applyFill="1" applyBorder="1"/>
    <xf numFmtId="165" fontId="34" fillId="3" borderId="4" xfId="1" applyNumberFormat="1" applyFont="1" applyFill="1" applyBorder="1"/>
    <xf numFmtId="165" fontId="23" fillId="0" borderId="0" xfId="1" applyNumberFormat="1" applyFont="1" applyBorder="1"/>
    <xf numFmtId="165" fontId="34" fillId="3" borderId="5" xfId="1" applyNumberFormat="1" applyFont="1" applyFill="1" applyBorder="1"/>
    <xf numFmtId="0" fontId="34" fillId="0" borderId="0" xfId="7" applyFont="1"/>
    <xf numFmtId="165" fontId="34" fillId="4" borderId="23" xfId="1" applyNumberFormat="1" applyFont="1" applyFill="1" applyBorder="1"/>
    <xf numFmtId="49" fontId="5" fillId="0" borderId="0" xfId="1" applyNumberFormat="1" applyFont="1" applyFill="1" applyBorder="1" applyAlignment="1">
      <alignment horizontal="left" indent="1"/>
    </xf>
    <xf numFmtId="49" fontId="8" fillId="0" borderId="0" xfId="1" applyNumberFormat="1" applyFont="1" applyFill="1" applyBorder="1" applyAlignment="1">
      <alignment horizontal="left" indent="1"/>
    </xf>
    <xf numFmtId="49" fontId="39" fillId="0" borderId="2" xfId="1" applyNumberFormat="1" applyFont="1" applyFill="1" applyBorder="1" applyAlignment="1">
      <alignment horizontal="left" indent="1"/>
    </xf>
    <xf numFmtId="165" fontId="39" fillId="0" borderId="0" xfId="1" applyNumberFormat="1" applyFont="1" applyFill="1" applyBorder="1" applyAlignment="1">
      <alignment horizontal="left" indent="1"/>
    </xf>
    <xf numFmtId="165" fontId="39" fillId="0" borderId="0" xfId="1" applyNumberFormat="1" applyFont="1" applyFill="1" applyBorder="1" applyAlignment="1">
      <alignment horizontal="center"/>
    </xf>
    <xf numFmtId="165" fontId="39" fillId="0" borderId="0" xfId="1" applyNumberFormat="1" applyFont="1" applyFill="1" applyBorder="1"/>
    <xf numFmtId="9" fontId="39" fillId="0" borderId="0" xfId="1" applyNumberFormat="1" applyFont="1" applyFill="1" applyBorder="1" applyAlignment="1">
      <alignment horizontal="center"/>
    </xf>
    <xf numFmtId="0" fontId="38" fillId="0" borderId="14" xfId="1" applyNumberFormat="1" applyFont="1" applyFill="1" applyBorder="1" applyAlignment="1">
      <alignment horizontal="center"/>
    </xf>
    <xf numFmtId="0" fontId="41" fillId="0" borderId="0" xfId="0" applyFont="1"/>
    <xf numFmtId="0" fontId="42" fillId="0" borderId="0" xfId="0" applyFont="1" applyAlignment="1">
      <alignment vertical="center"/>
    </xf>
    <xf numFmtId="0" fontId="0" fillId="0" borderId="49" xfId="0" applyBorder="1" applyAlignment="1">
      <alignment vertical="center"/>
    </xf>
    <xf numFmtId="164" fontId="0" fillId="0" borderId="0" xfId="1"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xf>
    <xf numFmtId="164" fontId="0" fillId="0" borderId="8" xfId="1" applyFont="1" applyBorder="1" applyAlignment="1">
      <alignment horizontal="center" vertical="center"/>
    </xf>
    <xf numFmtId="4" fontId="0" fillId="0" borderId="8" xfId="0" applyNumberFormat="1" applyBorder="1" applyAlignment="1">
      <alignment horizontal="center" vertical="center"/>
    </xf>
    <xf numFmtId="164" fontId="0" fillId="0" borderId="50" xfId="1" applyFont="1" applyBorder="1" applyAlignment="1">
      <alignment horizontal="center" vertical="center"/>
    </xf>
    <xf numFmtId="17" fontId="0" fillId="0" borderId="50" xfId="0" applyNumberFormat="1" applyBorder="1" applyAlignment="1">
      <alignment vertical="center" wrapText="1"/>
    </xf>
    <xf numFmtId="14" fontId="0" fillId="0" borderId="0" xfId="0" applyNumberFormat="1" applyAlignment="1">
      <alignment horizontal="left" vertical="center"/>
    </xf>
    <xf numFmtId="14" fontId="0" fillId="0" borderId="0" xfId="0" applyNumberFormat="1" applyAlignment="1">
      <alignment horizontal="center" vertical="center"/>
    </xf>
    <xf numFmtId="0" fontId="0" fillId="0" borderId="11" xfId="0" applyBorder="1" applyAlignment="1">
      <alignment vertical="center" wrapText="1"/>
    </xf>
    <xf numFmtId="8" fontId="0" fillId="0" borderId="0" xfId="0" applyNumberFormat="1" applyAlignment="1">
      <alignment horizontal="center" vertical="center" wrapText="1"/>
    </xf>
    <xf numFmtId="0" fontId="0" fillId="0" borderId="50" xfId="0" applyBorder="1" applyAlignment="1">
      <alignment vertical="center"/>
    </xf>
    <xf numFmtId="0" fontId="0" fillId="0" borderId="9" xfId="0" applyBorder="1" applyAlignment="1">
      <alignment horizontal="center" vertical="center" wrapText="1"/>
    </xf>
    <xf numFmtId="17" fontId="22" fillId="0" borderId="50" xfId="0" applyNumberFormat="1" applyFont="1" applyBorder="1" applyAlignment="1">
      <alignment vertical="center" wrapText="1"/>
    </xf>
    <xf numFmtId="164" fontId="22" fillId="0" borderId="0" xfId="1" applyFont="1" applyBorder="1" applyAlignment="1">
      <alignment horizontal="center" vertical="center"/>
    </xf>
    <xf numFmtId="15" fontId="22" fillId="0" borderId="0" xfId="0" applyNumberFormat="1" applyFont="1" applyAlignment="1">
      <alignment horizontal="center" vertical="center"/>
    </xf>
    <xf numFmtId="0" fontId="22" fillId="0" borderId="11" xfId="0" applyFont="1" applyBorder="1" applyAlignment="1">
      <alignment horizontal="center" vertical="center" wrapText="1"/>
    </xf>
    <xf numFmtId="0" fontId="22" fillId="0" borderId="0" xfId="0" applyFont="1" applyAlignment="1">
      <alignment horizontal="center" vertical="center"/>
    </xf>
    <xf numFmtId="0" fontId="22" fillId="0" borderId="50" xfId="0" applyFont="1" applyBorder="1" applyAlignment="1">
      <alignment vertical="center"/>
    </xf>
    <xf numFmtId="0" fontId="22" fillId="0" borderId="50" xfId="0" applyFont="1" applyBorder="1" applyAlignment="1">
      <alignment horizontal="center" vertical="center"/>
    </xf>
    <xf numFmtId="165" fontId="21" fillId="0" borderId="4" xfId="1" applyNumberFormat="1" applyFont="1" applyFill="1" applyBorder="1" applyAlignment="1">
      <alignment horizontal="center"/>
    </xf>
    <xf numFmtId="9" fontId="6" fillId="3" borderId="19" xfId="6" applyFont="1" applyFill="1" applyBorder="1" applyAlignment="1">
      <alignment horizontal="center"/>
    </xf>
    <xf numFmtId="9" fontId="6" fillId="3" borderId="23" xfId="6" applyFont="1" applyFill="1" applyBorder="1" applyAlignment="1">
      <alignment horizontal="center"/>
    </xf>
    <xf numFmtId="164" fontId="44" fillId="0" borderId="11" xfId="1" applyFont="1" applyBorder="1" applyAlignment="1">
      <alignment horizontal="center" vertical="center"/>
    </xf>
    <xf numFmtId="164" fontId="44" fillId="0" borderId="50" xfId="1" applyFont="1" applyBorder="1" applyAlignment="1">
      <alignment horizontal="center" vertical="center"/>
    </xf>
    <xf numFmtId="164" fontId="45" fillId="0" borderId="50" xfId="1" applyFont="1" applyBorder="1" applyAlignment="1">
      <alignment horizontal="center" vertical="center"/>
    </xf>
    <xf numFmtId="4" fontId="44" fillId="0" borderId="50" xfId="0" applyNumberFormat="1" applyFont="1" applyBorder="1" applyAlignment="1">
      <alignment horizontal="center" vertical="center"/>
    </xf>
    <xf numFmtId="4" fontId="44" fillId="0" borderId="11" xfId="0" applyNumberFormat="1" applyFont="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vertical="center" wrapText="1"/>
    </xf>
    <xf numFmtId="0" fontId="44" fillId="0" borderId="50" xfId="0" applyFont="1" applyBorder="1" applyAlignment="1">
      <alignment vertical="center"/>
    </xf>
    <xf numFmtId="0" fontId="44" fillId="0" borderId="50" xfId="0" applyFont="1" applyBorder="1" applyAlignment="1">
      <alignment horizontal="center" vertical="center"/>
    </xf>
    <xf numFmtId="49" fontId="46" fillId="0" borderId="11" xfId="1" applyNumberFormat="1" applyFont="1" applyFill="1" applyBorder="1" applyAlignment="1">
      <alignment horizontal="left" wrapText="1" indent="1"/>
    </xf>
    <xf numFmtId="49" fontId="46" fillId="0" borderId="11" xfId="1" applyNumberFormat="1" applyFont="1" applyFill="1" applyBorder="1" applyAlignment="1">
      <alignment horizontal="left" indent="1"/>
    </xf>
    <xf numFmtId="49" fontId="46" fillId="0" borderId="13" xfId="1" applyNumberFormat="1" applyFont="1" applyFill="1" applyBorder="1" applyAlignment="1">
      <alignment horizontal="left" wrapText="1" indent="1"/>
    </xf>
    <xf numFmtId="49" fontId="46" fillId="0" borderId="16" xfId="1" applyNumberFormat="1" applyFont="1" applyFill="1" applyBorder="1" applyAlignment="1">
      <alignment horizontal="left" indent="1"/>
    </xf>
    <xf numFmtId="49" fontId="46" fillId="0" borderId="25" xfId="1" applyNumberFormat="1" applyFont="1" applyFill="1" applyBorder="1" applyAlignment="1">
      <alignment horizontal="left" indent="1"/>
    </xf>
    <xf numFmtId="49" fontId="47" fillId="2" borderId="27" xfId="1" applyNumberFormat="1" applyFont="1" applyFill="1" applyBorder="1" applyAlignment="1">
      <alignment horizontal="left" indent="1"/>
    </xf>
    <xf numFmtId="49" fontId="28" fillId="0" borderId="13" xfId="1" applyNumberFormat="1" applyFont="1" applyFill="1" applyBorder="1" applyAlignment="1">
      <alignment horizontal="left" wrapText="1" indent="1"/>
    </xf>
    <xf numFmtId="49" fontId="50" fillId="0" borderId="13" xfId="1" applyNumberFormat="1" applyFont="1" applyFill="1" applyBorder="1" applyAlignment="1">
      <alignment horizontal="left" wrapText="1" indent="1"/>
    </xf>
    <xf numFmtId="0" fontId="51" fillId="0" borderId="0" xfId="0" applyFont="1"/>
    <xf numFmtId="49" fontId="28" fillId="0" borderId="11" xfId="1" applyNumberFormat="1" applyFont="1" applyFill="1" applyBorder="1" applyAlignment="1">
      <alignment horizontal="left" wrapText="1" indent="1"/>
    </xf>
    <xf numFmtId="49" fontId="28" fillId="0" borderId="11" xfId="1" applyNumberFormat="1" applyFont="1" applyFill="1" applyBorder="1" applyAlignment="1">
      <alignment horizontal="left" wrapText="1"/>
    </xf>
    <xf numFmtId="49" fontId="28" fillId="0" borderId="13" xfId="1" applyNumberFormat="1" applyFont="1" applyFill="1" applyBorder="1" applyAlignment="1">
      <alignment horizontal="left" indent="1"/>
    </xf>
    <xf numFmtId="165" fontId="49" fillId="0" borderId="0" xfId="1" applyNumberFormat="1" applyFont="1" applyFill="1" applyBorder="1" applyAlignment="1">
      <alignment horizontal="left" indent="1"/>
    </xf>
    <xf numFmtId="165" fontId="49" fillId="0" borderId="0" xfId="1" applyNumberFormat="1" applyFont="1" applyFill="1" applyBorder="1"/>
    <xf numFmtId="9" fontId="49" fillId="0" borderId="0" xfId="1" applyNumberFormat="1" applyFont="1" applyFill="1" applyBorder="1" applyAlignment="1">
      <alignment horizontal="center"/>
    </xf>
    <xf numFmtId="0" fontId="48" fillId="0" borderId="21" xfId="1" applyNumberFormat="1" applyFont="1" applyFill="1" applyBorder="1" applyAlignment="1">
      <alignment horizontal="center"/>
    </xf>
    <xf numFmtId="49" fontId="48" fillId="0" borderId="0" xfId="1" applyNumberFormat="1" applyFont="1" applyFill="1" applyBorder="1" applyAlignment="1">
      <alignment horizontal="left" indent="1"/>
    </xf>
    <xf numFmtId="165" fontId="48" fillId="0" borderId="0" xfId="1" applyNumberFormat="1" applyFont="1" applyFill="1" applyBorder="1"/>
    <xf numFmtId="9" fontId="48" fillId="0" borderId="0" xfId="6" applyFont="1" applyFill="1" applyBorder="1" applyAlignment="1">
      <alignment horizontal="center"/>
    </xf>
    <xf numFmtId="49" fontId="49" fillId="0" borderId="11" xfId="1" applyNumberFormat="1" applyFont="1" applyFill="1" applyBorder="1" applyAlignment="1">
      <alignment horizontal="left" indent="1"/>
    </xf>
    <xf numFmtId="166" fontId="37" fillId="0" borderId="11" xfId="0" applyNumberFormat="1" applyFont="1" applyBorder="1" applyAlignment="1">
      <alignment horizontal="center" vertical="center"/>
    </xf>
    <xf numFmtId="2" fontId="0" fillId="0" borderId="0" xfId="0" applyNumberFormat="1" applyAlignment="1">
      <alignment vertical="center" wrapText="1"/>
    </xf>
    <xf numFmtId="2" fontId="0" fillId="0" borderId="8" xfId="0" applyNumberFormat="1" applyBorder="1" applyAlignment="1">
      <alignment vertical="center"/>
    </xf>
    <xf numFmtId="0" fontId="0" fillId="0" borderId="0" xfId="0" applyAlignment="1">
      <alignment vertical="center" wrapText="1"/>
    </xf>
    <xf numFmtId="0" fontId="0" fillId="0" borderId="11" xfId="0" applyBorder="1" applyAlignment="1">
      <alignment horizontal="left" vertical="center" wrapText="1"/>
    </xf>
    <xf numFmtId="165" fontId="52" fillId="0" borderId="0" xfId="1" applyNumberFormat="1" applyFont="1" applyFill="1" applyBorder="1"/>
    <xf numFmtId="0" fontId="53" fillId="0" borderId="0" xfId="0" applyFont="1" applyAlignment="1">
      <alignment vertical="center"/>
    </xf>
    <xf numFmtId="2" fontId="44" fillId="0" borderId="0" xfId="0" applyNumberFormat="1" applyFont="1" applyAlignment="1">
      <alignment vertical="center" wrapText="1"/>
    </xf>
    <xf numFmtId="2" fontId="44" fillId="0" borderId="0" xfId="0" applyNumberFormat="1" applyFont="1" applyAlignment="1">
      <alignment vertical="center"/>
    </xf>
    <xf numFmtId="0" fontId="44" fillId="0" borderId="0" xfId="0" applyFont="1" applyAlignment="1">
      <alignment horizontal="center" vertical="center"/>
    </xf>
    <xf numFmtId="14" fontId="44" fillId="0" borderId="0" xfId="1" applyNumberFormat="1" applyFont="1" applyBorder="1" applyAlignment="1">
      <alignment horizontal="center" vertical="center"/>
    </xf>
    <xf numFmtId="0" fontId="44" fillId="0" borderId="0" xfId="0" applyFont="1" applyAlignment="1">
      <alignment vertical="center" wrapText="1"/>
    </xf>
    <xf numFmtId="166" fontId="44" fillId="0" borderId="11" xfId="0" applyNumberFormat="1" applyFont="1" applyBorder="1" applyAlignment="1">
      <alignment horizontal="center" vertical="center"/>
    </xf>
    <xf numFmtId="164" fontId="45" fillId="0" borderId="0" xfId="1" applyFont="1" applyBorder="1" applyAlignment="1">
      <alignment horizontal="center" vertical="center"/>
    </xf>
    <xf numFmtId="15" fontId="45" fillId="0" borderId="0" xfId="0" applyNumberFormat="1" applyFont="1" applyAlignment="1">
      <alignment horizontal="center" vertical="center"/>
    </xf>
    <xf numFmtId="0" fontId="45" fillId="0" borderId="11" xfId="0" applyFont="1" applyBorder="1" applyAlignment="1">
      <alignment horizontal="center" vertical="center" wrapText="1"/>
    </xf>
    <xf numFmtId="0" fontId="55" fillId="0" borderId="0" xfId="0" applyFont="1"/>
    <xf numFmtId="0" fontId="2" fillId="0" borderId="0" xfId="0" applyFont="1"/>
    <xf numFmtId="14" fontId="56" fillId="0" borderId="0" xfId="0" applyNumberFormat="1" applyFont="1" applyAlignment="1">
      <alignment vertical="center"/>
    </xf>
    <xf numFmtId="0" fontId="1" fillId="0" borderId="0" xfId="0" applyFont="1"/>
    <xf numFmtId="164" fontId="57" fillId="0" borderId="50" xfId="1" applyFont="1" applyBorder="1" applyAlignment="1">
      <alignment horizontal="center" vertical="center" wrapText="1"/>
    </xf>
    <xf numFmtId="0" fontId="58" fillId="0" borderId="0" xfId="0" applyFont="1" applyAlignment="1">
      <alignment horizontal="center" vertical="center" wrapText="1"/>
    </xf>
    <xf numFmtId="164" fontId="57" fillId="0" borderId="0" xfId="1" applyFont="1" applyBorder="1" applyAlignment="1">
      <alignment horizontal="center" vertical="center"/>
    </xf>
    <xf numFmtId="0" fontId="57" fillId="0" borderId="0" xfId="0" applyFont="1"/>
    <xf numFmtId="0" fontId="6" fillId="8" borderId="23" xfId="0" applyFont="1" applyFill="1" applyBorder="1" applyAlignment="1">
      <alignment horizontal="center" wrapText="1"/>
    </xf>
    <xf numFmtId="9" fontId="6" fillId="8" borderId="23" xfId="0" applyNumberFormat="1" applyFont="1" applyFill="1" applyBorder="1" applyAlignment="1">
      <alignment horizontal="center" wrapText="1"/>
    </xf>
    <xf numFmtId="0" fontId="26" fillId="8" borderId="7" xfId="0" applyFont="1" applyFill="1" applyBorder="1" applyAlignment="1">
      <alignment vertical="center"/>
    </xf>
    <xf numFmtId="0" fontId="26" fillId="8" borderId="8" xfId="0" applyFont="1" applyFill="1" applyBorder="1" applyAlignment="1">
      <alignment horizontal="left" vertical="center" indent="1"/>
    </xf>
    <xf numFmtId="0" fontId="6" fillId="8" borderId="8" xfId="0" applyFont="1" applyFill="1" applyBorder="1" applyAlignment="1">
      <alignment horizontal="center" vertical="center"/>
    </xf>
    <xf numFmtId="0" fontId="5" fillId="8" borderId="8" xfId="0" applyFont="1" applyFill="1" applyBorder="1" applyAlignment="1">
      <alignment horizontal="center"/>
    </xf>
    <xf numFmtId="0" fontId="5" fillId="8" borderId="9" xfId="0" applyFont="1" applyFill="1" applyBorder="1" applyAlignment="1">
      <alignment horizontal="left" wrapText="1" indent="1"/>
    </xf>
    <xf numFmtId="0" fontId="26" fillId="8" borderId="10" xfId="0" applyFont="1" applyFill="1" applyBorder="1" applyAlignment="1">
      <alignment vertical="center"/>
    </xf>
    <xf numFmtId="0" fontId="26" fillId="8" borderId="0" xfId="0" applyFont="1" applyFill="1" applyAlignment="1">
      <alignment horizontal="left" vertical="center" indent="1"/>
    </xf>
    <xf numFmtId="0" fontId="6" fillId="8" borderId="0" xfId="0" applyFont="1" applyFill="1" applyAlignment="1">
      <alignment horizontal="center" vertical="center"/>
    </xf>
    <xf numFmtId="0" fontId="27" fillId="8" borderId="0" xfId="0" applyFont="1" applyFill="1" applyAlignment="1">
      <alignment horizontal="center"/>
    </xf>
    <xf numFmtId="0" fontId="5" fillId="8" borderId="11" xfId="0" applyFont="1" applyFill="1" applyBorder="1" applyAlignment="1">
      <alignment horizontal="left" wrapText="1" indent="1"/>
    </xf>
    <xf numFmtId="0" fontId="6" fillId="8" borderId="22" xfId="0" applyFont="1" applyFill="1" applyBorder="1" applyAlignment="1">
      <alignment horizontal="center" wrapText="1"/>
    </xf>
    <xf numFmtId="49" fontId="6" fillId="8" borderId="23" xfId="0" applyNumberFormat="1" applyFont="1" applyFill="1" applyBorder="1" applyAlignment="1">
      <alignment horizontal="left" wrapText="1" indent="1"/>
    </xf>
    <xf numFmtId="49" fontId="6" fillId="8" borderId="24" xfId="0" applyNumberFormat="1" applyFont="1" applyFill="1" applyBorder="1" applyAlignment="1">
      <alignment horizontal="left" wrapText="1" indent="1"/>
    </xf>
    <xf numFmtId="0" fontId="0" fillId="0" borderId="0" xfId="0" applyAlignment="1">
      <alignment horizontal="right"/>
    </xf>
    <xf numFmtId="0" fontId="5" fillId="8" borderId="8" xfId="0" applyFont="1" applyFill="1" applyBorder="1" applyAlignment="1">
      <alignment horizontal="right"/>
    </xf>
    <xf numFmtId="0" fontId="5" fillId="8" borderId="0" xfId="0" applyFont="1" applyFill="1" applyAlignment="1">
      <alignment horizontal="right"/>
    </xf>
    <xf numFmtId="0" fontId="6" fillId="8" borderId="23" xfId="0" applyFont="1" applyFill="1" applyBorder="1" applyAlignment="1">
      <alignment horizontal="right" wrapText="1"/>
    </xf>
    <xf numFmtId="165" fontId="9" fillId="0" borderId="0" xfId="1" applyNumberFormat="1" applyFont="1" applyFill="1" applyBorder="1" applyAlignment="1">
      <alignment horizontal="right"/>
    </xf>
    <xf numFmtId="165" fontId="35" fillId="0" borderId="4" xfId="1" applyNumberFormat="1" applyFont="1" applyFill="1" applyBorder="1" applyAlignment="1">
      <alignment horizontal="right"/>
    </xf>
    <xf numFmtId="165" fontId="34" fillId="0" borderId="4" xfId="1" applyNumberFormat="1" applyFont="1" applyFill="1" applyBorder="1" applyAlignment="1">
      <alignment horizontal="right"/>
    </xf>
    <xf numFmtId="165" fontId="36" fillId="0" borderId="43" xfId="1" applyNumberFormat="1" applyFont="1" applyFill="1" applyBorder="1" applyAlignment="1">
      <alignment horizontal="right"/>
    </xf>
    <xf numFmtId="165" fontId="23" fillId="0" borderId="43" xfId="1" applyNumberFormat="1" applyFont="1" applyFill="1" applyBorder="1" applyAlignment="1">
      <alignment horizontal="right"/>
    </xf>
    <xf numFmtId="165" fontId="36" fillId="0" borderId="0" xfId="1" applyNumberFormat="1" applyFont="1" applyFill="1" applyBorder="1" applyAlignment="1">
      <alignment horizontal="right"/>
    </xf>
    <xf numFmtId="165" fontId="35" fillId="0" borderId="43" xfId="1" applyNumberFormat="1" applyFont="1" applyFill="1" applyBorder="1" applyAlignment="1">
      <alignment horizontal="right"/>
    </xf>
    <xf numFmtId="165" fontId="34" fillId="0" borderId="43" xfId="1" applyNumberFormat="1" applyFont="1" applyFill="1" applyBorder="1" applyAlignment="1">
      <alignment horizontal="right"/>
    </xf>
    <xf numFmtId="165" fontId="35" fillId="3" borderId="19" xfId="1" applyNumberFormat="1" applyFont="1" applyFill="1" applyBorder="1" applyAlignment="1">
      <alignment horizontal="right"/>
    </xf>
    <xf numFmtId="165" fontId="34" fillId="3" borderId="19" xfId="1" applyNumberFormat="1" applyFont="1" applyFill="1" applyBorder="1" applyAlignment="1">
      <alignment horizontal="right"/>
    </xf>
    <xf numFmtId="0" fontId="0" fillId="0" borderId="0" xfId="0" applyAlignment="1">
      <alignment horizontal="left" wrapText="1"/>
    </xf>
    <xf numFmtId="0" fontId="0" fillId="0" borderId="0" xfId="0" applyAlignment="1">
      <alignment horizontal="left"/>
    </xf>
    <xf numFmtId="0" fontId="7" fillId="8" borderId="7" xfId="0" applyFont="1" applyFill="1" applyBorder="1" applyAlignment="1">
      <alignment vertical="center"/>
    </xf>
    <xf numFmtId="0" fontId="7" fillId="8" borderId="26" xfId="0" applyFont="1" applyFill="1" applyBorder="1" applyAlignment="1">
      <alignment horizontal="left" vertical="center" indent="1"/>
    </xf>
    <xf numFmtId="0" fontId="7" fillId="8" borderId="8" xfId="0" applyFont="1" applyFill="1" applyBorder="1" applyAlignment="1">
      <alignment horizontal="left" vertical="center" indent="1"/>
    </xf>
    <xf numFmtId="0" fontId="8" fillId="8" borderId="8" xfId="0" applyFont="1" applyFill="1" applyBorder="1" applyAlignment="1">
      <alignment horizontal="center" vertical="center"/>
    </xf>
    <xf numFmtId="0" fontId="9" fillId="8" borderId="8" xfId="0" applyFont="1" applyFill="1" applyBorder="1"/>
    <xf numFmtId="0" fontId="9" fillId="8" borderId="8" xfId="1" applyNumberFormat="1" applyFont="1" applyFill="1" applyBorder="1" applyAlignment="1">
      <alignment horizontal="center"/>
    </xf>
    <xf numFmtId="0" fontId="9" fillId="8" borderId="9" xfId="0" applyFont="1" applyFill="1" applyBorder="1" applyAlignment="1">
      <alignment horizontal="left" indent="1"/>
    </xf>
    <xf numFmtId="0" fontId="7" fillId="8" borderId="10" xfId="0" applyFont="1" applyFill="1" applyBorder="1" applyAlignment="1">
      <alignment vertical="center"/>
    </xf>
    <xf numFmtId="0" fontId="7" fillId="8" borderId="1" xfId="0" applyFont="1" applyFill="1" applyBorder="1" applyAlignment="1">
      <alignment horizontal="left" vertical="center" indent="1"/>
    </xf>
    <xf numFmtId="0" fontId="7" fillId="8" borderId="0" xfId="0" applyFont="1" applyFill="1" applyAlignment="1">
      <alignment horizontal="left" vertical="center" indent="1"/>
    </xf>
    <xf numFmtId="0" fontId="8" fillId="8" borderId="0" xfId="0" applyFont="1" applyFill="1" applyAlignment="1">
      <alignment horizontal="center" vertical="center"/>
    </xf>
    <xf numFmtId="0" fontId="9" fillId="8" borderId="0" xfId="0" applyFont="1" applyFill="1"/>
    <xf numFmtId="0" fontId="9" fillId="8" borderId="0" xfId="1" applyNumberFormat="1" applyFont="1" applyFill="1" applyBorder="1" applyAlignment="1">
      <alignment horizontal="center"/>
    </xf>
    <xf numFmtId="0" fontId="18" fillId="8" borderId="0" xfId="0" applyFont="1" applyFill="1" applyAlignment="1">
      <alignment horizontal="center"/>
    </xf>
    <xf numFmtId="0" fontId="9" fillId="8" borderId="11" xfId="0" applyFont="1" applyFill="1" applyBorder="1" applyAlignment="1">
      <alignment horizontal="left" indent="1"/>
    </xf>
    <xf numFmtId="49" fontId="59" fillId="0" borderId="11" xfId="1" applyNumberFormat="1" applyFont="1" applyFill="1" applyBorder="1" applyAlignment="1">
      <alignment horizontal="left" wrapText="1" indent="1"/>
    </xf>
    <xf numFmtId="49" fontId="59" fillId="0" borderId="11" xfId="1" applyNumberFormat="1" applyFont="1" applyFill="1" applyBorder="1" applyAlignment="1">
      <alignment horizontal="left" indent="1"/>
    </xf>
    <xf numFmtId="49" fontId="60" fillId="2" borderId="16" xfId="1" applyNumberFormat="1" applyFont="1" applyFill="1" applyBorder="1" applyAlignment="1">
      <alignment horizontal="left" indent="1"/>
    </xf>
    <xf numFmtId="49" fontId="60" fillId="4" borderId="16" xfId="1" applyNumberFormat="1" applyFont="1" applyFill="1" applyBorder="1" applyAlignment="1">
      <alignment horizontal="left" indent="1"/>
    </xf>
    <xf numFmtId="0" fontId="0" fillId="0" borderId="50" xfId="0" applyBorder="1"/>
    <xf numFmtId="164" fontId="37" fillId="0" borderId="11" xfId="1" applyFont="1" applyBorder="1" applyAlignment="1">
      <alignment horizontal="center" vertical="center"/>
    </xf>
    <xf numFmtId="0" fontId="37" fillId="0" borderId="14" xfId="0" applyFont="1" applyBorder="1" applyAlignment="1">
      <alignment horizontal="left" vertical="center" wrapText="1"/>
    </xf>
    <xf numFmtId="0" fontId="37" fillId="0" borderId="0" xfId="0" applyFont="1" applyAlignment="1">
      <alignment horizontal="left" vertical="center" wrapText="1"/>
    </xf>
    <xf numFmtId="2" fontId="37" fillId="0" borderId="0" xfId="0" applyNumberFormat="1" applyFont="1" applyAlignment="1">
      <alignment vertical="center" wrapText="1"/>
    </xf>
    <xf numFmtId="2" fontId="37" fillId="0" borderId="0" xfId="0" applyNumberFormat="1" applyFont="1"/>
    <xf numFmtId="0" fontId="37" fillId="0" borderId="14" xfId="0" applyFont="1" applyBorder="1" applyAlignment="1">
      <alignment horizontal="center" vertical="center" wrapText="1"/>
    </xf>
    <xf numFmtId="0" fontId="37" fillId="0" borderId="0" xfId="0" applyFont="1" applyAlignment="1">
      <alignment horizontal="center" vertical="center"/>
    </xf>
    <xf numFmtId="164" fontId="37" fillId="0" borderId="0" xfId="1" applyFont="1" applyBorder="1" applyAlignment="1">
      <alignment horizontal="center" vertical="center"/>
    </xf>
    <xf numFmtId="0" fontId="67" fillId="0" borderId="14" xfId="0" applyFont="1" applyBorder="1" applyAlignment="1">
      <alignment horizontal="left" vertical="center" wrapText="1"/>
    </xf>
    <xf numFmtId="0" fontId="67" fillId="0" borderId="0" xfId="0" applyFont="1" applyAlignment="1">
      <alignment horizontal="left" vertical="center" wrapText="1"/>
    </xf>
    <xf numFmtId="2" fontId="67" fillId="0" borderId="0" xfId="0" applyNumberFormat="1" applyFont="1" applyAlignment="1">
      <alignment vertical="center" wrapText="1"/>
    </xf>
    <xf numFmtId="2" fontId="67" fillId="0" borderId="0" xfId="0" applyNumberFormat="1" applyFont="1" applyAlignment="1">
      <alignment vertical="center"/>
    </xf>
    <xf numFmtId="4" fontId="67" fillId="0" borderId="0" xfId="0" applyNumberFormat="1" applyFont="1" applyAlignment="1">
      <alignment horizontal="center" vertical="center"/>
    </xf>
    <xf numFmtId="4" fontId="67" fillId="0" borderId="11" xfId="0" applyNumberFormat="1" applyFont="1" applyBorder="1" applyAlignment="1">
      <alignment horizontal="center" vertical="center"/>
    </xf>
    <xf numFmtId="4" fontId="67" fillId="0" borderId="50" xfId="0" applyNumberFormat="1" applyFont="1" applyBorder="1" applyAlignment="1">
      <alignment wrapText="1"/>
    </xf>
    <xf numFmtId="14" fontId="43" fillId="9" borderId="51" xfId="0" applyNumberFormat="1" applyFont="1" applyFill="1" applyBorder="1"/>
    <xf numFmtId="164" fontId="43" fillId="9" borderId="23" xfId="1" applyFont="1" applyFill="1" applyBorder="1" applyAlignment="1">
      <alignment horizontal="center"/>
    </xf>
    <xf numFmtId="0" fontId="43" fillId="9" borderId="23" xfId="0" applyFont="1" applyFill="1" applyBorder="1" applyAlignment="1">
      <alignment horizontal="center"/>
    </xf>
    <xf numFmtId="0" fontId="43" fillId="9" borderId="24" xfId="0" applyFont="1" applyFill="1" applyBorder="1" applyAlignment="1">
      <alignment horizontal="center" wrapText="1"/>
    </xf>
    <xf numFmtId="0" fontId="43" fillId="9" borderId="23" xfId="0" applyFont="1" applyFill="1" applyBorder="1" applyAlignment="1">
      <alignment horizontal="center" wrapText="1"/>
    </xf>
    <xf numFmtId="0" fontId="63" fillId="9" borderId="51" xfId="0" applyFont="1" applyFill="1" applyBorder="1" applyAlignment="1">
      <alignment horizontal="center"/>
    </xf>
    <xf numFmtId="164" fontId="69" fillId="9" borderId="51" xfId="1" applyFont="1" applyFill="1" applyBorder="1" applyAlignment="1">
      <alignment horizontal="center"/>
    </xf>
    <xf numFmtId="164" fontId="63" fillId="9" borderId="24" xfId="1" applyFont="1" applyFill="1" applyBorder="1" applyAlignment="1">
      <alignment horizontal="center"/>
    </xf>
    <xf numFmtId="0" fontId="43" fillId="9" borderId="36" xfId="0" applyFont="1" applyFill="1" applyBorder="1" applyAlignment="1">
      <alignment vertical="center" wrapText="1"/>
    </xf>
    <xf numFmtId="0" fontId="63" fillId="9" borderId="48" xfId="0" applyFont="1" applyFill="1" applyBorder="1" applyAlignment="1">
      <alignment horizontal="center" vertical="center" wrapText="1"/>
    </xf>
    <xf numFmtId="0" fontId="68" fillId="9" borderId="48" xfId="0" applyFont="1" applyFill="1" applyBorder="1" applyAlignment="1">
      <alignment horizontal="center" vertical="center" wrapText="1"/>
    </xf>
    <xf numFmtId="0" fontId="43" fillId="9" borderId="37" xfId="0" applyFont="1" applyFill="1" applyBorder="1" applyAlignment="1">
      <alignment horizontal="center" vertical="center" wrapText="1"/>
    </xf>
    <xf numFmtId="0" fontId="43" fillId="9" borderId="36" xfId="0" applyFont="1" applyFill="1" applyBorder="1" applyAlignment="1">
      <alignment horizontal="center" vertical="center" wrapText="1"/>
    </xf>
    <xf numFmtId="15" fontId="37" fillId="0" borderId="0" xfId="0" applyNumberFormat="1" applyFont="1" applyAlignment="1">
      <alignment horizontal="center" vertical="center"/>
    </xf>
    <xf numFmtId="0" fontId="37" fillId="0" borderId="11" xfId="0" applyFont="1" applyBorder="1" applyAlignment="1">
      <alignment horizontal="center" vertical="center" wrapText="1"/>
    </xf>
    <xf numFmtId="14" fontId="63" fillId="9" borderId="51" xfId="0" applyNumberFormat="1" applyFont="1" applyFill="1" applyBorder="1" applyAlignment="1">
      <alignment vertical="center"/>
    </xf>
    <xf numFmtId="164" fontId="63" fillId="9" borderId="24" xfId="1" applyFont="1" applyFill="1" applyBorder="1" applyAlignment="1">
      <alignment horizontal="center" vertical="center"/>
    </xf>
    <xf numFmtId="164" fontId="63" fillId="9" borderId="51" xfId="1" applyFont="1" applyFill="1" applyBorder="1" applyAlignment="1">
      <alignment horizontal="center" vertical="center"/>
    </xf>
    <xf numFmtId="0" fontId="63" fillId="9" borderId="23" xfId="0" applyFont="1" applyFill="1" applyBorder="1" applyAlignment="1">
      <alignment horizontal="center" vertical="center"/>
    </xf>
    <xf numFmtId="0" fontId="63" fillId="9" borderId="23" xfId="0" applyFont="1" applyFill="1" applyBorder="1" applyAlignment="1">
      <alignment horizontal="center" vertical="center" wrapText="1"/>
    </xf>
    <xf numFmtId="0" fontId="63" fillId="9" borderId="22" xfId="0" applyFont="1" applyFill="1" applyBorder="1" applyAlignment="1">
      <alignment horizontal="center" vertical="center" wrapText="1"/>
    </xf>
    <xf numFmtId="2" fontId="63" fillId="9" borderId="23" xfId="1" applyNumberFormat="1" applyFont="1" applyFill="1" applyBorder="1" applyAlignment="1">
      <alignment horizontal="center" vertical="center"/>
    </xf>
    <xf numFmtId="0" fontId="63" fillId="9" borderId="23" xfId="1" applyNumberFormat="1" applyFont="1" applyFill="1" applyBorder="1" applyAlignment="1">
      <alignment horizontal="center" vertical="center"/>
    </xf>
    <xf numFmtId="4" fontId="63" fillId="9" borderId="24" xfId="0" applyNumberFormat="1" applyFont="1" applyFill="1" applyBorder="1" applyAlignment="1">
      <alignment horizontal="center" vertical="center"/>
    </xf>
    <xf numFmtId="43" fontId="63" fillId="9" borderId="24" xfId="0" applyNumberFormat="1" applyFont="1" applyFill="1" applyBorder="1" applyAlignment="1">
      <alignment horizontal="center" vertical="center"/>
    </xf>
    <xf numFmtId="164" fontId="68" fillId="9" borderId="51" xfId="1" applyFont="1" applyFill="1" applyBorder="1" applyAlignment="1">
      <alignment horizontal="center"/>
    </xf>
    <xf numFmtId="164" fontId="68" fillId="9" borderId="51" xfId="1" applyFont="1" applyFill="1" applyBorder="1" applyAlignment="1">
      <alignment horizontal="center" vertical="center"/>
    </xf>
    <xf numFmtId="0" fontId="70" fillId="8" borderId="0" xfId="0" applyFont="1" applyFill="1" applyAlignment="1">
      <alignment horizontal="left" vertical="center" indent="1"/>
    </xf>
    <xf numFmtId="0" fontId="20" fillId="10" borderId="36" xfId="0" applyFont="1" applyFill="1" applyBorder="1" applyAlignment="1">
      <alignment horizontal="left"/>
    </xf>
    <xf numFmtId="0" fontId="20" fillId="10" borderId="37" xfId="0" applyFont="1" applyFill="1" applyBorder="1"/>
    <xf numFmtId="17" fontId="17" fillId="10" borderId="37" xfId="0" applyNumberFormat="1" applyFont="1" applyFill="1" applyBorder="1" applyAlignment="1">
      <alignment horizontal="center" wrapText="1"/>
    </xf>
    <xf numFmtId="0" fontId="17" fillId="10" borderId="37" xfId="0" applyFont="1" applyFill="1" applyBorder="1" applyAlignment="1">
      <alignment horizontal="center" wrapText="1"/>
    </xf>
    <xf numFmtId="49" fontId="17" fillId="10" borderId="38" xfId="0" applyNumberFormat="1" applyFont="1" applyFill="1" applyBorder="1" applyAlignment="1">
      <alignment horizontal="left" indent="1"/>
    </xf>
    <xf numFmtId="0" fontId="15" fillId="10" borderId="8" xfId="7" applyFont="1" applyFill="1" applyBorder="1"/>
    <xf numFmtId="9" fontId="15" fillId="10" borderId="8" xfId="7" applyNumberFormat="1" applyFont="1" applyFill="1" applyBorder="1" applyAlignment="1">
      <alignment horizontal="center"/>
    </xf>
    <xf numFmtId="0" fontId="15" fillId="10" borderId="8" xfId="7" applyFont="1" applyFill="1" applyBorder="1" applyAlignment="1">
      <alignment horizontal="center"/>
    </xf>
    <xf numFmtId="0" fontId="15" fillId="10" borderId="9" xfId="7" applyFont="1" applyFill="1" applyBorder="1"/>
    <xf numFmtId="0" fontId="7" fillId="8" borderId="14" xfId="0" applyFont="1" applyFill="1" applyBorder="1" applyAlignment="1">
      <alignment vertical="center"/>
    </xf>
    <xf numFmtId="0" fontId="9" fillId="8" borderId="0" xfId="0" applyFont="1" applyFill="1" applyAlignment="1">
      <alignment horizontal="center"/>
    </xf>
    <xf numFmtId="9" fontId="9" fillId="8" borderId="0" xfId="0" applyNumberFormat="1" applyFont="1" applyFill="1" applyAlignment="1">
      <alignment horizontal="center"/>
    </xf>
    <xf numFmtId="0" fontId="15" fillId="10" borderId="11" xfId="7" applyFont="1" applyFill="1" applyBorder="1"/>
    <xf numFmtId="0" fontId="8" fillId="8" borderId="22" xfId="0" applyFont="1" applyFill="1" applyBorder="1" applyAlignment="1">
      <alignment horizontal="center" wrapText="1"/>
    </xf>
    <xf numFmtId="0" fontId="8" fillId="8" borderId="23" xfId="0" applyFont="1" applyFill="1" applyBorder="1" applyAlignment="1">
      <alignment horizontal="left" wrapText="1" indent="1"/>
    </xf>
    <xf numFmtId="0" fontId="15" fillId="10" borderId="24" xfId="7" applyFont="1" applyFill="1" applyBorder="1"/>
    <xf numFmtId="49" fontId="61" fillId="0" borderId="11" xfId="1" applyNumberFormat="1" applyFont="1" applyFill="1" applyBorder="1" applyAlignment="1">
      <alignment horizontal="left" wrapText="1" indent="1"/>
    </xf>
    <xf numFmtId="49" fontId="5" fillId="0" borderId="13" xfId="1" applyNumberFormat="1" applyFont="1" applyFill="1" applyBorder="1" applyAlignment="1">
      <alignment horizontal="left" wrapText="1" indent="1"/>
    </xf>
    <xf numFmtId="49" fontId="5" fillId="0" borderId="11" xfId="1" applyNumberFormat="1" applyFont="1" applyFill="1" applyBorder="1" applyAlignment="1">
      <alignment horizontal="left" wrapText="1" indent="1"/>
    </xf>
    <xf numFmtId="49" fontId="40" fillId="0" borderId="11" xfId="1" applyNumberFormat="1" applyFont="1" applyFill="1" applyBorder="1" applyAlignment="1">
      <alignment horizontal="left" wrapText="1" indent="1"/>
    </xf>
    <xf numFmtId="49" fontId="50" fillId="0" borderId="11" xfId="1" applyNumberFormat="1" applyFont="1" applyFill="1" applyBorder="1" applyAlignment="1">
      <alignment horizontal="left" wrapText="1" indent="1"/>
    </xf>
    <xf numFmtId="165" fontId="49" fillId="0" borderId="0" xfId="1" applyNumberFormat="1" applyFont="1" applyFill="1" applyBorder="1" applyAlignment="1">
      <alignment horizontal="center"/>
    </xf>
    <xf numFmtId="49" fontId="46" fillId="0" borderId="11" xfId="0" applyNumberFormat="1" applyFont="1" applyBorder="1" applyAlignment="1">
      <alignment horizontal="left" wrapText="1" indent="1"/>
    </xf>
    <xf numFmtId="49" fontId="61" fillId="0" borderId="11" xfId="0" applyNumberFormat="1" applyFont="1" applyBorder="1" applyAlignment="1">
      <alignment horizontal="left" wrapText="1" indent="1"/>
    </xf>
    <xf numFmtId="49" fontId="47" fillId="4" borderId="20" xfId="0" applyNumberFormat="1" applyFont="1" applyFill="1" applyBorder="1" applyAlignment="1">
      <alignment horizontal="left" indent="1"/>
    </xf>
    <xf numFmtId="0" fontId="71" fillId="0" borderId="0" xfId="0" applyFont="1"/>
    <xf numFmtId="164" fontId="63" fillId="11" borderId="23" xfId="1" applyFont="1" applyFill="1" applyBorder="1" applyAlignment="1">
      <alignment horizontal="center" vertical="center"/>
    </xf>
    <xf numFmtId="165" fontId="72" fillId="0" borderId="4" xfId="1" applyNumberFormat="1" applyFont="1" applyFill="1" applyBorder="1" applyAlignment="1">
      <alignment horizontal="right"/>
    </xf>
    <xf numFmtId="0" fontId="48" fillId="0" borderId="14" xfId="7" applyFont="1" applyBorder="1" applyAlignment="1">
      <alignment horizontal="center"/>
    </xf>
    <xf numFmtId="0" fontId="48" fillId="0" borderId="2" xfId="7" applyFont="1" applyBorder="1"/>
    <xf numFmtId="9" fontId="48" fillId="0" borderId="0" xfId="1" applyNumberFormat="1" applyFont="1" applyFill="1" applyBorder="1" applyAlignment="1">
      <alignment horizontal="center"/>
    </xf>
    <xf numFmtId="49" fontId="49" fillId="0" borderId="11" xfId="1" applyNumberFormat="1" applyFont="1" applyFill="1" applyBorder="1"/>
    <xf numFmtId="9" fontId="48" fillId="0" borderId="0" xfId="7" applyNumberFormat="1" applyFont="1" applyAlignment="1">
      <alignment horizontal="center"/>
    </xf>
    <xf numFmtId="49" fontId="49" fillId="0" borderId="11" xfId="7" applyNumberFormat="1" applyFont="1" applyBorder="1"/>
    <xf numFmtId="0" fontId="48" fillId="3" borderId="17" xfId="7" applyFont="1" applyFill="1" applyBorder="1" applyAlignment="1">
      <alignment horizontal="center"/>
    </xf>
    <xf numFmtId="49" fontId="49" fillId="0" borderId="0" xfId="1" applyNumberFormat="1" applyFont="1" applyFill="1" applyBorder="1" applyAlignment="1">
      <alignment horizontal="left" indent="1"/>
    </xf>
    <xf numFmtId="49" fontId="50" fillId="0" borderId="11" xfId="1" applyNumberFormat="1" applyFont="1" applyFill="1" applyBorder="1" applyAlignment="1">
      <alignment horizontal="left" indent="1"/>
    </xf>
    <xf numFmtId="49" fontId="49" fillId="0" borderId="3" xfId="1" applyNumberFormat="1" applyFont="1" applyFill="1" applyBorder="1" applyAlignment="1">
      <alignment horizontal="left" indent="1"/>
    </xf>
    <xf numFmtId="0" fontId="49" fillId="0" borderId="31" xfId="1" applyNumberFormat="1" applyFont="1" applyFill="1" applyBorder="1" applyAlignment="1">
      <alignment horizontal="center"/>
    </xf>
    <xf numFmtId="10" fontId="49" fillId="0" borderId="0" xfId="1" applyNumberFormat="1" applyFont="1" applyFill="1" applyBorder="1" applyAlignment="1">
      <alignment horizontal="center"/>
    </xf>
    <xf numFmtId="0" fontId="48" fillId="0" borderId="12" xfId="1" applyNumberFormat="1" applyFont="1" applyFill="1" applyBorder="1" applyAlignment="1">
      <alignment horizontal="center"/>
    </xf>
    <xf numFmtId="165" fontId="48" fillId="0" borderId="4" xfId="1" applyNumberFormat="1" applyFont="1" applyFill="1" applyBorder="1" applyAlignment="1">
      <alignment horizontal="left" indent="1"/>
    </xf>
    <xf numFmtId="165" fontId="48" fillId="0" borderId="4" xfId="1" applyNumberFormat="1" applyFont="1" applyFill="1" applyBorder="1" applyAlignment="1">
      <alignment horizontal="center"/>
    </xf>
    <xf numFmtId="165" fontId="48" fillId="0" borderId="4" xfId="1" applyNumberFormat="1" applyFont="1" applyFill="1" applyBorder="1"/>
    <xf numFmtId="9" fontId="48" fillId="0" borderId="4" xfId="6" applyFont="1" applyFill="1" applyBorder="1" applyAlignment="1">
      <alignment horizontal="center"/>
    </xf>
    <xf numFmtId="0" fontId="67" fillId="0" borderId="0" xfId="0" applyFont="1" applyAlignment="1">
      <alignment horizontal="center" vertical="center" wrapText="1"/>
    </xf>
    <xf numFmtId="0" fontId="37" fillId="0" borderId="0" xfId="0" applyFont="1" applyAlignment="1">
      <alignment horizontal="center" vertical="center" wrapText="1"/>
    </xf>
    <xf numFmtId="0" fontId="73" fillId="0" borderId="0" xfId="0" applyFont="1" applyAlignment="1">
      <alignment vertical="center" wrapText="1"/>
    </xf>
    <xf numFmtId="2" fontId="73" fillId="0" borderId="0" xfId="0" applyNumberFormat="1" applyFont="1" applyAlignment="1">
      <alignment vertical="center" wrapText="1"/>
    </xf>
    <xf numFmtId="2" fontId="73" fillId="0" borderId="0" xfId="0" applyNumberFormat="1" applyFont="1" applyAlignment="1">
      <alignment vertical="center"/>
    </xf>
    <xf numFmtId="166" fontId="73" fillId="0" borderId="11" xfId="0" applyNumberFormat="1" applyFont="1" applyBorder="1" applyAlignment="1">
      <alignment horizontal="center" vertical="center"/>
    </xf>
    <xf numFmtId="0" fontId="57" fillId="0" borderId="0" xfId="0" applyFont="1" applyAlignment="1">
      <alignment horizontal="center" vertical="center" wrapText="1"/>
    </xf>
    <xf numFmtId="0" fontId="8" fillId="0" borderId="21" xfId="1" applyNumberFormat="1" applyFont="1" applyFill="1" applyBorder="1" applyAlignment="1">
      <alignment horizontal="center" wrapText="1"/>
    </xf>
    <xf numFmtId="0" fontId="6" fillId="0" borderId="14" xfId="7" applyFont="1" applyBorder="1" applyAlignment="1">
      <alignment horizontal="center"/>
    </xf>
    <xf numFmtId="0" fontId="6" fillId="0" borderId="2" xfId="7" applyFont="1" applyBorder="1"/>
    <xf numFmtId="9" fontId="6" fillId="0" borderId="0" xfId="1" applyNumberFormat="1" applyFont="1" applyFill="1" applyBorder="1" applyAlignment="1">
      <alignment horizontal="center"/>
    </xf>
    <xf numFmtId="49" fontId="5" fillId="0" borderId="11" xfId="1" applyNumberFormat="1" applyFont="1" applyFill="1" applyBorder="1"/>
    <xf numFmtId="0" fontId="5" fillId="0" borderId="14" xfId="7" applyFont="1" applyBorder="1" applyAlignment="1">
      <alignment horizontal="center"/>
    </xf>
    <xf numFmtId="0" fontId="5" fillId="0" borderId="2" xfId="7" applyFont="1" applyBorder="1"/>
    <xf numFmtId="49" fontId="5" fillId="0" borderId="0" xfId="1" applyNumberFormat="1" applyFont="1" applyFill="1" applyBorder="1"/>
    <xf numFmtId="0" fontId="6" fillId="0" borderId="6" xfId="7" applyFont="1" applyBorder="1"/>
    <xf numFmtId="9" fontId="6" fillId="0" borderId="5" xfId="1" applyNumberFormat="1" applyFont="1" applyFill="1" applyBorder="1" applyAlignment="1">
      <alignment horizontal="center"/>
    </xf>
    <xf numFmtId="49" fontId="6" fillId="0" borderId="47" xfId="1" applyNumberFormat="1" applyFont="1" applyFill="1" applyBorder="1"/>
    <xf numFmtId="0" fontId="6" fillId="4" borderId="41" xfId="7" applyFont="1" applyFill="1" applyBorder="1" applyAlignment="1">
      <alignment horizontal="center"/>
    </xf>
    <xf numFmtId="0" fontId="6" fillId="4" borderId="42" xfId="7" applyFont="1" applyFill="1" applyBorder="1"/>
    <xf numFmtId="165" fontId="6" fillId="4" borderId="43" xfId="1" applyNumberFormat="1" applyFont="1" applyFill="1" applyBorder="1"/>
    <xf numFmtId="9" fontId="6" fillId="4" borderId="43" xfId="1" applyNumberFormat="1" applyFont="1" applyFill="1" applyBorder="1" applyAlignment="1">
      <alignment horizontal="center"/>
    </xf>
    <xf numFmtId="49" fontId="5" fillId="4" borderId="25" xfId="1" applyNumberFormat="1" applyFont="1" applyFill="1" applyBorder="1"/>
    <xf numFmtId="0" fontId="6" fillId="4" borderId="22" xfId="7" applyFont="1" applyFill="1" applyBorder="1" applyAlignment="1">
      <alignment horizontal="center"/>
    </xf>
    <xf numFmtId="0" fontId="6" fillId="4" borderId="35" xfId="7" applyFont="1" applyFill="1" applyBorder="1"/>
    <xf numFmtId="165" fontId="6" fillId="4" borderId="19" xfId="1" applyNumberFormat="1" applyFont="1" applyFill="1" applyBorder="1"/>
    <xf numFmtId="9" fontId="6" fillId="4" borderId="19" xfId="1" applyNumberFormat="1" applyFont="1" applyFill="1" applyBorder="1" applyAlignment="1">
      <alignment horizontal="center"/>
    </xf>
    <xf numFmtId="49" fontId="5" fillId="4" borderId="20" xfId="1" applyNumberFormat="1" applyFont="1" applyFill="1" applyBorder="1"/>
    <xf numFmtId="165" fontId="72" fillId="0" borderId="5" xfId="1" applyNumberFormat="1" applyFont="1" applyFill="1" applyBorder="1"/>
    <xf numFmtId="165" fontId="72" fillId="4" borderId="43" xfId="1" applyNumberFormat="1" applyFont="1" applyFill="1" applyBorder="1"/>
    <xf numFmtId="165" fontId="72" fillId="4" borderId="19" xfId="1" applyNumberFormat="1" applyFont="1" applyFill="1" applyBorder="1"/>
    <xf numFmtId="165" fontId="34" fillId="4" borderId="43" xfId="1" applyNumberFormat="1" applyFont="1" applyFill="1" applyBorder="1"/>
    <xf numFmtId="165" fontId="34" fillId="4" borderId="19" xfId="1" applyNumberFormat="1" applyFont="1" applyFill="1" applyBorder="1"/>
    <xf numFmtId="0" fontId="75" fillId="4" borderId="36" xfId="0" applyFont="1" applyFill="1" applyBorder="1" applyAlignment="1">
      <alignment horizontal="left"/>
    </xf>
    <xf numFmtId="0" fontId="75" fillId="4" borderId="37" xfId="0" applyFont="1" applyFill="1" applyBorder="1"/>
    <xf numFmtId="17" fontId="6" fillId="3" borderId="37" xfId="0" applyNumberFormat="1" applyFont="1" applyFill="1" applyBorder="1" applyAlignment="1">
      <alignment horizontal="center" wrapText="1"/>
    </xf>
    <xf numFmtId="0" fontId="6" fillId="3" borderId="37" xfId="0" applyFont="1" applyFill="1" applyBorder="1" applyAlignment="1">
      <alignment horizontal="center" wrapText="1"/>
    </xf>
    <xf numFmtId="49" fontId="76" fillId="3" borderId="38" xfId="0" applyNumberFormat="1" applyFont="1" applyFill="1" applyBorder="1" applyAlignment="1">
      <alignment horizontal="left" indent="1"/>
    </xf>
    <xf numFmtId="49" fontId="6" fillId="0" borderId="0" xfId="0" applyNumberFormat="1" applyFont="1" applyAlignment="1">
      <alignment horizontal="left" indent="1"/>
    </xf>
    <xf numFmtId="0" fontId="6" fillId="0" borderId="14" xfId="0" applyFont="1" applyBorder="1" applyAlignment="1">
      <alignment horizontal="center" wrapText="1"/>
    </xf>
    <xf numFmtId="0" fontId="77" fillId="0" borderId="11" xfId="0" applyFont="1" applyBorder="1" applyAlignment="1">
      <alignment wrapText="1"/>
    </xf>
    <xf numFmtId="0" fontId="77" fillId="0" borderId="24" xfId="0" applyFont="1" applyBorder="1"/>
    <xf numFmtId="0" fontId="6" fillId="3" borderId="44" xfId="0" applyFont="1" applyFill="1" applyBorder="1" applyAlignment="1">
      <alignment horizontal="center"/>
    </xf>
    <xf numFmtId="49" fontId="6" fillId="3" borderId="45" xfId="0" applyNumberFormat="1" applyFont="1" applyFill="1" applyBorder="1" applyAlignment="1">
      <alignment horizontal="left" indent="1"/>
    </xf>
    <xf numFmtId="165" fontId="5" fillId="3" borderId="45" xfId="1" applyNumberFormat="1" applyFont="1" applyFill="1" applyBorder="1"/>
    <xf numFmtId="49" fontId="28" fillId="3" borderId="46" xfId="0" applyNumberFormat="1" applyFont="1" applyFill="1" applyBorder="1" applyAlignment="1">
      <alignment horizontal="left" wrapText="1" indent="1"/>
    </xf>
    <xf numFmtId="0" fontId="6" fillId="4" borderId="15" xfId="0" applyFont="1" applyFill="1" applyBorder="1" applyAlignment="1">
      <alignment horizontal="center"/>
    </xf>
    <xf numFmtId="49" fontId="6" fillId="4" borderId="5" xfId="0" applyNumberFormat="1" applyFont="1" applyFill="1" applyBorder="1" applyAlignment="1">
      <alignment horizontal="left" indent="1"/>
    </xf>
    <xf numFmtId="49" fontId="30" fillId="4" borderId="16" xfId="0" applyNumberFormat="1" applyFont="1" applyFill="1" applyBorder="1" applyAlignment="1">
      <alignment horizontal="left" indent="1"/>
    </xf>
    <xf numFmtId="0" fontId="37" fillId="0" borderId="0" xfId="0" applyFont="1" applyAlignment="1">
      <alignment horizontal="center"/>
    </xf>
    <xf numFmtId="49" fontId="37" fillId="0" borderId="0" xfId="0" applyNumberFormat="1" applyFont="1" applyAlignment="1">
      <alignment horizontal="left" indent="1"/>
    </xf>
    <xf numFmtId="0" fontId="6" fillId="4" borderId="36" xfId="0" applyFont="1" applyFill="1" applyBorder="1" applyAlignment="1">
      <alignment horizontal="center"/>
    </xf>
    <xf numFmtId="49" fontId="6" fillId="4" borderId="37" xfId="0" applyNumberFormat="1" applyFont="1" applyFill="1" applyBorder="1" applyAlignment="1">
      <alignment horizontal="left" indent="1"/>
    </xf>
    <xf numFmtId="165" fontId="6" fillId="3" borderId="37" xfId="1" applyNumberFormat="1" applyFont="1" applyFill="1" applyBorder="1"/>
    <xf numFmtId="49" fontId="30" fillId="4" borderId="38" xfId="0" applyNumberFormat="1" applyFont="1" applyFill="1" applyBorder="1" applyAlignment="1">
      <alignment horizontal="left" indent="1"/>
    </xf>
    <xf numFmtId="0" fontId="5" fillId="0" borderId="21" xfId="1" applyNumberFormat="1" applyFont="1" applyFill="1" applyBorder="1" applyAlignment="1">
      <alignment horizontal="center"/>
    </xf>
    <xf numFmtId="0" fontId="6" fillId="4" borderId="30" xfId="1" applyNumberFormat="1" applyFont="1" applyFill="1" applyBorder="1" applyAlignment="1">
      <alignment horizontal="center"/>
    </xf>
    <xf numFmtId="49" fontId="6" fillId="4" borderId="5" xfId="1" applyNumberFormat="1" applyFont="1" applyFill="1" applyBorder="1" applyAlignment="1">
      <alignment horizontal="left" wrapText="1" indent="1"/>
    </xf>
    <xf numFmtId="165" fontId="6" fillId="4" borderId="5" xfId="1" applyNumberFormat="1" applyFont="1" applyFill="1" applyBorder="1"/>
    <xf numFmtId="165" fontId="6" fillId="3" borderId="5" xfId="1" applyNumberFormat="1" applyFont="1" applyFill="1" applyBorder="1" applyAlignment="1">
      <alignment horizontal="center"/>
    </xf>
    <xf numFmtId="9" fontId="6" fillId="4" borderId="5" xfId="6" applyFont="1" applyFill="1" applyBorder="1" applyAlignment="1">
      <alignment horizontal="center"/>
    </xf>
    <xf numFmtId="49" fontId="28" fillId="4" borderId="16" xfId="1" applyNumberFormat="1" applyFont="1" applyFill="1" applyBorder="1" applyAlignment="1">
      <alignment horizontal="left" wrapText="1" indent="1"/>
    </xf>
    <xf numFmtId="0" fontId="5" fillId="2" borderId="33" xfId="1" applyNumberFormat="1" applyFont="1" applyFill="1" applyBorder="1" applyAlignment="1">
      <alignment horizontal="center"/>
    </xf>
    <xf numFmtId="49" fontId="28" fillId="2" borderId="20" xfId="1" applyNumberFormat="1" applyFont="1" applyFill="1" applyBorder="1" applyAlignment="1">
      <alignment horizontal="left" indent="1"/>
    </xf>
    <xf numFmtId="165" fontId="72" fillId="3" borderId="5" xfId="1" applyNumberFormat="1" applyFont="1" applyFill="1" applyBorder="1"/>
    <xf numFmtId="165" fontId="72" fillId="3" borderId="19" xfId="1" applyNumberFormat="1" applyFont="1" applyFill="1" applyBorder="1"/>
    <xf numFmtId="165" fontId="34" fillId="3" borderId="5" xfId="1" applyNumberFormat="1" applyFont="1" applyFill="1" applyBorder="1" applyAlignment="1">
      <alignment horizontal="center"/>
    </xf>
    <xf numFmtId="0" fontId="6" fillId="0" borderId="14" xfId="1" applyNumberFormat="1" applyFont="1" applyFill="1" applyBorder="1" applyAlignment="1">
      <alignment horizontal="center"/>
    </xf>
    <xf numFmtId="49" fontId="5" fillId="0" borderId="42" xfId="1" applyNumberFormat="1" applyFont="1" applyFill="1" applyBorder="1" applyAlignment="1">
      <alignment horizontal="left" indent="1"/>
    </xf>
    <xf numFmtId="165" fontId="5" fillId="0" borderId="0" xfId="1" applyNumberFormat="1" applyFont="1" applyFill="1" applyBorder="1" applyAlignment="1">
      <alignment horizontal="right"/>
    </xf>
    <xf numFmtId="0" fontId="6" fillId="3" borderId="30" xfId="1" applyNumberFormat="1" applyFont="1" applyFill="1" applyBorder="1" applyAlignment="1">
      <alignment horizontal="center"/>
    </xf>
    <xf numFmtId="49" fontId="6" fillId="3" borderId="5" xfId="1" applyNumberFormat="1" applyFont="1" applyFill="1" applyBorder="1" applyAlignment="1">
      <alignment horizontal="left" indent="1"/>
    </xf>
    <xf numFmtId="165" fontId="6" fillId="3" borderId="5" xfId="1" applyNumberFormat="1" applyFont="1" applyFill="1" applyBorder="1" applyAlignment="1">
      <alignment horizontal="left" indent="1"/>
    </xf>
    <xf numFmtId="9" fontId="5" fillId="3" borderId="5" xfId="1" applyNumberFormat="1" applyFont="1" applyFill="1" applyBorder="1" applyAlignment="1">
      <alignment horizontal="center"/>
    </xf>
    <xf numFmtId="49" fontId="28" fillId="3" borderId="16" xfId="1" applyNumberFormat="1" applyFont="1" applyFill="1" applyBorder="1" applyAlignment="1">
      <alignment horizontal="left" wrapText="1" indent="1"/>
    </xf>
    <xf numFmtId="0" fontId="5" fillId="2" borderId="17" xfId="1" applyNumberFormat="1" applyFont="1" applyFill="1" applyBorder="1" applyAlignment="1">
      <alignment horizontal="center"/>
    </xf>
    <xf numFmtId="0" fontId="45" fillId="0" borderId="0" xfId="0" applyFont="1"/>
    <xf numFmtId="0" fontId="6" fillId="0" borderId="21" xfId="1" applyNumberFormat="1" applyFont="1" applyFill="1" applyBorder="1" applyAlignment="1">
      <alignment horizontal="center"/>
    </xf>
    <xf numFmtId="0" fontId="5" fillId="0" borderId="31" xfId="1" applyNumberFormat="1" applyFont="1" applyFill="1" applyBorder="1" applyAlignment="1">
      <alignment horizontal="center"/>
    </xf>
    <xf numFmtId="49" fontId="5" fillId="0" borderId="11" xfId="1" applyNumberFormat="1" applyFont="1" applyFill="1" applyBorder="1" applyAlignment="1">
      <alignment horizontal="left" indent="1"/>
    </xf>
    <xf numFmtId="165" fontId="52" fillId="0" borderId="0" xfId="1" applyNumberFormat="1" applyFont="1" applyFill="1" applyBorder="1" applyAlignment="1">
      <alignment horizontal="right"/>
    </xf>
    <xf numFmtId="165" fontId="72" fillId="3" borderId="5" xfId="1" applyNumberFormat="1" applyFont="1" applyFill="1" applyBorder="1" applyAlignment="1">
      <alignment horizontal="right"/>
    </xf>
    <xf numFmtId="165" fontId="72" fillId="3" borderId="19" xfId="1" applyNumberFormat="1" applyFont="1" applyFill="1" applyBorder="1" applyAlignment="1">
      <alignment horizontal="right"/>
    </xf>
    <xf numFmtId="165" fontId="34" fillId="3" borderId="5" xfId="1" applyNumberFormat="1" applyFont="1" applyFill="1" applyBorder="1" applyAlignment="1">
      <alignment horizontal="right"/>
    </xf>
    <xf numFmtId="165" fontId="34" fillId="6" borderId="19" xfId="1" applyNumberFormat="1" applyFont="1" applyFill="1" applyBorder="1" applyAlignment="1">
      <alignment horizontal="right"/>
    </xf>
    <xf numFmtId="49" fontId="61" fillId="0" borderId="11" xfId="1" applyNumberFormat="1" applyFont="1" applyFill="1" applyBorder="1" applyAlignment="1">
      <alignment horizontal="left" indent="1"/>
    </xf>
    <xf numFmtId="49" fontId="61" fillId="3" borderId="16" xfId="1" applyNumberFormat="1" applyFont="1" applyFill="1" applyBorder="1" applyAlignment="1">
      <alignment horizontal="left" wrapText="1" indent="1"/>
    </xf>
    <xf numFmtId="49" fontId="61" fillId="2" borderId="20" xfId="1" applyNumberFormat="1" applyFont="1" applyFill="1" applyBorder="1" applyAlignment="1">
      <alignment horizontal="left" indent="1"/>
    </xf>
    <xf numFmtId="0" fontId="6" fillId="3" borderId="35" xfId="7" applyFont="1" applyFill="1" applyBorder="1"/>
    <xf numFmtId="9" fontId="6" fillId="3" borderId="19" xfId="1" applyNumberFormat="1" applyFont="1" applyFill="1" applyBorder="1" applyAlignment="1">
      <alignment horizontal="center"/>
    </xf>
    <xf numFmtId="49" fontId="5" fillId="3" borderId="20" xfId="7" applyNumberFormat="1" applyFont="1" applyFill="1" applyBorder="1"/>
    <xf numFmtId="49" fontId="6" fillId="0" borderId="2" xfId="1" applyNumberFormat="1" applyFont="1" applyFill="1" applyBorder="1" applyAlignment="1">
      <alignment horizontal="left" indent="1"/>
    </xf>
    <xf numFmtId="49" fontId="28" fillId="0" borderId="0" xfId="1" applyNumberFormat="1" applyFont="1" applyFill="1" applyBorder="1" applyAlignment="1">
      <alignment horizontal="left" wrapText="1" indent="1"/>
    </xf>
    <xf numFmtId="165" fontId="8" fillId="0" borderId="0" xfId="1" applyNumberFormat="1" applyFont="1" applyFill="1" applyBorder="1" applyAlignment="1">
      <alignment horizontal="center"/>
    </xf>
    <xf numFmtId="165" fontId="72" fillId="0" borderId="0" xfId="1" applyNumberFormat="1" applyFont="1" applyFill="1" applyBorder="1" applyAlignment="1">
      <alignment horizontal="right"/>
    </xf>
    <xf numFmtId="165" fontId="34" fillId="0" borderId="0" xfId="1" applyNumberFormat="1" applyFont="1" applyFill="1" applyBorder="1" applyAlignment="1">
      <alignment horizontal="right"/>
    </xf>
    <xf numFmtId="9" fontId="8" fillId="0" borderId="0" xfId="6" applyFont="1" applyFill="1" applyBorder="1" applyAlignment="1">
      <alignment horizontal="center"/>
    </xf>
    <xf numFmtId="49" fontId="61" fillId="0" borderId="13" xfId="1" applyNumberFormat="1" applyFont="1" applyFill="1" applyBorder="1" applyAlignment="1">
      <alignment horizontal="left" wrapText="1" indent="1"/>
    </xf>
    <xf numFmtId="165" fontId="78" fillId="0" borderId="0" xfId="0" applyNumberFormat="1" applyFont="1"/>
    <xf numFmtId="0" fontId="78" fillId="0" borderId="0" xfId="0" applyFont="1"/>
    <xf numFmtId="17" fontId="37" fillId="0" borderId="0" xfId="0" applyNumberFormat="1" applyFont="1" applyAlignment="1">
      <alignment horizontal="center" vertical="center"/>
    </xf>
    <xf numFmtId="164" fontId="43" fillId="11" borderId="23" xfId="1" applyFont="1" applyFill="1" applyBorder="1" applyAlignment="1">
      <alignment horizontal="center"/>
    </xf>
    <xf numFmtId="0" fontId="37" fillId="0" borderId="11" xfId="0" applyFont="1" applyBorder="1" applyAlignment="1">
      <alignment horizontal="left" vertical="center" wrapText="1"/>
    </xf>
    <xf numFmtId="0" fontId="0" fillId="0" borderId="11" xfId="0" applyBorder="1"/>
    <xf numFmtId="4" fontId="37" fillId="0" borderId="11" xfId="0" applyNumberFormat="1" applyFont="1" applyBorder="1" applyAlignment="1">
      <alignment horizontal="center" vertical="center"/>
    </xf>
    <xf numFmtId="49" fontId="40" fillId="0" borderId="11" xfId="1" applyNumberFormat="1" applyFont="1" applyFill="1" applyBorder="1" applyAlignment="1">
      <alignment horizontal="left" indent="1"/>
    </xf>
    <xf numFmtId="165" fontId="39" fillId="0" borderId="0" xfId="1" applyNumberFormat="1" applyFont="1" applyFill="1" applyBorder="1" applyAlignment="1">
      <alignment horizontal="right"/>
    </xf>
    <xf numFmtId="49" fontId="39" fillId="0" borderId="11" xfId="1" applyNumberFormat="1" applyFont="1" applyFill="1" applyBorder="1" applyAlignment="1">
      <alignment horizontal="left" wrapText="1" indent="1"/>
    </xf>
    <xf numFmtId="49" fontId="79" fillId="0" borderId="11" xfId="1" applyNumberFormat="1" applyFont="1" applyFill="1" applyBorder="1" applyAlignment="1">
      <alignment horizontal="left" indent="1"/>
    </xf>
    <xf numFmtId="0" fontId="38" fillId="0" borderId="14" xfId="0" applyFont="1" applyBorder="1" applyAlignment="1">
      <alignment horizontal="center"/>
    </xf>
    <xf numFmtId="49" fontId="38" fillId="0" borderId="0" xfId="0" applyNumberFormat="1" applyFont="1" applyAlignment="1">
      <alignment horizontal="left" indent="1"/>
    </xf>
    <xf numFmtId="49" fontId="79" fillId="0" borderId="11" xfId="0" applyNumberFormat="1" applyFont="1" applyBorder="1" applyAlignment="1">
      <alignment horizontal="left" wrapText="1" indent="1"/>
    </xf>
    <xf numFmtId="2" fontId="63" fillId="0" borderId="23" xfId="1" applyNumberFormat="1" applyFont="1" applyFill="1" applyBorder="1" applyAlignment="1">
      <alignment horizontal="center" vertical="center"/>
    </xf>
    <xf numFmtId="2" fontId="63" fillId="11" borderId="23" xfId="0" applyNumberFormat="1" applyFont="1" applyFill="1" applyBorder="1" applyAlignment="1">
      <alignment horizontal="center" vertical="center"/>
    </xf>
    <xf numFmtId="2" fontId="37" fillId="11" borderId="0" xfId="0" applyNumberFormat="1" applyFont="1" applyFill="1" applyAlignment="1">
      <alignment vertical="center"/>
    </xf>
    <xf numFmtId="0" fontId="43" fillId="11" borderId="23" xfId="0" applyFont="1" applyFill="1" applyBorder="1" applyAlignment="1">
      <alignment horizontal="center"/>
    </xf>
    <xf numFmtId="0" fontId="62" fillId="0" borderId="23" xfId="0" applyFont="1" applyBorder="1" applyAlignment="1">
      <alignment horizontal="center" wrapText="1"/>
    </xf>
    <xf numFmtId="165" fontId="72" fillId="0" borderId="0" xfId="1" applyNumberFormat="1" applyFont="1" applyFill="1" applyBorder="1"/>
    <xf numFmtId="0" fontId="22" fillId="7" borderId="0" xfId="0" applyFont="1" applyFill="1" applyAlignment="1">
      <alignment horizontal="left"/>
    </xf>
    <xf numFmtId="0" fontId="33" fillId="7" borderId="0" xfId="0" applyFont="1" applyFill="1" applyAlignment="1">
      <alignment horizontal="center"/>
    </xf>
  </cellXfs>
  <cellStyles count="286">
    <cellStyle name="Comma" xfId="1" builtinId="3"/>
    <cellStyle name="Comma 2" xfId="284" xr:uid="{6409BD8F-8951-4E7E-B987-F4BC5D0F8784}"/>
    <cellStyle name="Comma 2 2" xfId="285" xr:uid="{EA334973-6045-4441-A08D-A95EAA5516FA}"/>
    <cellStyle name="Followed Hyperlink" xfId="73" builtinId="9" hidden="1"/>
    <cellStyle name="Followed Hyperlink" xfId="35" builtinId="9" hidden="1"/>
    <cellStyle name="Followed Hyperlink" xfId="47" builtinId="9" hidden="1"/>
    <cellStyle name="Followed Hyperlink" xfId="57" builtinId="9" hidden="1"/>
    <cellStyle name="Followed Hyperlink" xfId="67" builtinId="9" hidden="1"/>
    <cellStyle name="Followed Hyperlink" xfId="53" builtinId="9" hidden="1"/>
    <cellStyle name="Followed Hyperlink" xfId="15" builtinId="9" hidden="1"/>
    <cellStyle name="Followed Hyperlink" xfId="23" builtinId="9" hidden="1"/>
    <cellStyle name="Followed Hyperlink" xfId="11" builtinId="9" hidden="1"/>
    <cellStyle name="Followed Hyperlink" xfId="5" builtinId="9" hidden="1"/>
    <cellStyle name="Followed Hyperlink" xfId="25" builtinId="9" hidden="1"/>
    <cellStyle name="Followed Hyperlink" xfId="17" builtinId="9" hidden="1"/>
    <cellStyle name="Followed Hyperlink" xfId="45" builtinId="9" hidden="1"/>
    <cellStyle name="Followed Hyperlink" xfId="71" builtinId="9" hidden="1"/>
    <cellStyle name="Followed Hyperlink" xfId="59" builtinId="9" hidden="1"/>
    <cellStyle name="Followed Hyperlink" xfId="49" builtinId="9" hidden="1"/>
    <cellStyle name="Followed Hyperlink" xfId="39" builtinId="9" hidden="1"/>
    <cellStyle name="Followed Hyperlink" xfId="27" builtinId="9" hidden="1"/>
    <cellStyle name="Followed Hyperlink" xfId="85" builtinId="9" hidden="1"/>
    <cellStyle name="Followed Hyperlink" xfId="101" builtinId="9" hidden="1"/>
    <cellStyle name="Followed Hyperlink" xfId="117" builtinId="9" hidden="1"/>
    <cellStyle name="Followed Hyperlink" xfId="133" builtinId="9" hidden="1"/>
    <cellStyle name="Followed Hyperlink" xfId="149" builtinId="9" hidden="1"/>
    <cellStyle name="Followed Hyperlink" xfId="165" builtinId="9" hidden="1"/>
    <cellStyle name="Followed Hyperlink" xfId="181" builtinId="9" hidden="1"/>
    <cellStyle name="Followed Hyperlink" xfId="197" builtinId="9" hidden="1"/>
    <cellStyle name="Followed Hyperlink" xfId="213" builtinId="9" hidden="1"/>
    <cellStyle name="Followed Hyperlink" xfId="229" builtinId="9" hidden="1"/>
    <cellStyle name="Followed Hyperlink" xfId="245" builtinId="9" hidden="1"/>
    <cellStyle name="Followed Hyperlink" xfId="261" builtinId="9" hidden="1"/>
    <cellStyle name="Followed Hyperlink" xfId="277" builtinId="9" hidden="1"/>
    <cellStyle name="Followed Hyperlink" xfId="275" builtinId="9" hidden="1"/>
    <cellStyle name="Followed Hyperlink" xfId="259" builtinId="9" hidden="1"/>
    <cellStyle name="Followed Hyperlink" xfId="243" builtinId="9" hidden="1"/>
    <cellStyle name="Followed Hyperlink" xfId="227" builtinId="9" hidden="1"/>
    <cellStyle name="Followed Hyperlink" xfId="211" builtinId="9" hidden="1"/>
    <cellStyle name="Followed Hyperlink" xfId="127" builtinId="9" hidden="1"/>
    <cellStyle name="Followed Hyperlink" xfId="135" builtinId="9" hidden="1"/>
    <cellStyle name="Followed Hyperlink" xfId="147" builtinId="9" hidden="1"/>
    <cellStyle name="Followed Hyperlink" xfId="159" builtinId="9" hidden="1"/>
    <cellStyle name="Followed Hyperlink" xfId="167" builtinId="9" hidden="1"/>
    <cellStyle name="Followed Hyperlink" xfId="179" builtinId="9" hidden="1"/>
    <cellStyle name="Followed Hyperlink" xfId="191" builtinId="9" hidden="1"/>
    <cellStyle name="Followed Hyperlink" xfId="199" builtinId="9" hidden="1"/>
    <cellStyle name="Followed Hyperlink" xfId="203" builtinId="9" hidden="1"/>
    <cellStyle name="Followed Hyperlink" xfId="171" builtinId="9" hidden="1"/>
    <cellStyle name="Followed Hyperlink" xfId="139" builtinId="9" hidden="1"/>
    <cellStyle name="Followed Hyperlink" xfId="95" builtinId="9" hidden="1"/>
    <cellStyle name="Followed Hyperlink" xfId="103" builtinId="9" hidden="1"/>
    <cellStyle name="Followed Hyperlink" xfId="111" builtinId="9" hidden="1"/>
    <cellStyle name="Followed Hyperlink" xfId="91" builtinId="9" hidden="1"/>
    <cellStyle name="Followed Hyperlink" xfId="87" builtinId="9" hidden="1"/>
    <cellStyle name="Followed Hyperlink" xfId="75" builtinId="9" hidden="1"/>
    <cellStyle name="Followed Hyperlink" xfId="79" builtinId="9" hidden="1"/>
    <cellStyle name="Followed Hyperlink" xfId="83" builtinId="9" hidden="1"/>
    <cellStyle name="Followed Hyperlink" xfId="115" builtinId="9" hidden="1"/>
    <cellStyle name="Followed Hyperlink" xfId="107" builtinId="9" hidden="1"/>
    <cellStyle name="Followed Hyperlink" xfId="99" builtinId="9" hidden="1"/>
    <cellStyle name="Followed Hyperlink" xfId="123" builtinId="9" hidden="1"/>
    <cellStyle name="Followed Hyperlink" xfId="155" builtinId="9" hidden="1"/>
    <cellStyle name="Followed Hyperlink" xfId="187" builtinId="9" hidden="1"/>
    <cellStyle name="Followed Hyperlink" xfId="207" builtinId="9" hidden="1"/>
    <cellStyle name="Followed Hyperlink" xfId="195" builtinId="9" hidden="1"/>
    <cellStyle name="Followed Hyperlink" xfId="183" builtinId="9" hidden="1"/>
    <cellStyle name="Followed Hyperlink" xfId="175" builtinId="9" hidden="1"/>
    <cellStyle name="Followed Hyperlink" xfId="163" builtinId="9" hidden="1"/>
    <cellStyle name="Followed Hyperlink" xfId="151" builtinId="9" hidden="1"/>
    <cellStyle name="Followed Hyperlink" xfId="143" builtinId="9" hidden="1"/>
    <cellStyle name="Followed Hyperlink" xfId="131" builtinId="9" hidden="1"/>
    <cellStyle name="Followed Hyperlink" xfId="119" builtinId="9" hidden="1"/>
    <cellStyle name="Followed Hyperlink" xfId="219" builtinId="9" hidden="1"/>
    <cellStyle name="Followed Hyperlink" xfId="235" builtinId="9" hidden="1"/>
    <cellStyle name="Followed Hyperlink" xfId="251" builtinId="9" hidden="1"/>
    <cellStyle name="Followed Hyperlink" xfId="267" builtinId="9" hidden="1"/>
    <cellStyle name="Followed Hyperlink" xfId="283" builtinId="9" hidden="1"/>
    <cellStyle name="Followed Hyperlink" xfId="269" builtinId="9" hidden="1"/>
    <cellStyle name="Followed Hyperlink" xfId="253" builtinId="9" hidden="1"/>
    <cellStyle name="Followed Hyperlink" xfId="237" builtinId="9" hidden="1"/>
    <cellStyle name="Followed Hyperlink" xfId="221" builtinId="9" hidden="1"/>
    <cellStyle name="Followed Hyperlink" xfId="205" builtinId="9" hidden="1"/>
    <cellStyle name="Followed Hyperlink" xfId="189" builtinId="9" hidden="1"/>
    <cellStyle name="Followed Hyperlink" xfId="173" builtinId="9" hidden="1"/>
    <cellStyle name="Followed Hyperlink" xfId="157" builtinId="9" hidden="1"/>
    <cellStyle name="Followed Hyperlink" xfId="141" builtinId="9" hidden="1"/>
    <cellStyle name="Followed Hyperlink" xfId="125" builtinId="9" hidden="1"/>
    <cellStyle name="Followed Hyperlink" xfId="109" builtinId="9" hidden="1"/>
    <cellStyle name="Followed Hyperlink" xfId="93" builtinId="9" hidden="1"/>
    <cellStyle name="Followed Hyperlink" xfId="77" builtinId="9" hidden="1"/>
    <cellStyle name="Followed Hyperlink" xfId="33" builtinId="9" hidden="1"/>
    <cellStyle name="Followed Hyperlink" xfId="43" builtinId="9" hidden="1"/>
    <cellStyle name="Followed Hyperlink" xfId="55" builtinId="9" hidden="1"/>
    <cellStyle name="Followed Hyperlink" xfId="65" builtinId="9" hidden="1"/>
    <cellStyle name="Followed Hyperlink" xfId="61" builtinId="9" hidden="1"/>
    <cellStyle name="Followed Hyperlink" xfId="29" builtinId="9" hidden="1"/>
    <cellStyle name="Followed Hyperlink" xfId="21" builtinId="9" hidden="1"/>
    <cellStyle name="Followed Hyperlink" xfId="9" builtinId="9" hidden="1"/>
    <cellStyle name="Followed Hyperlink" xfId="3" builtinId="9" hidden="1"/>
    <cellStyle name="Followed Hyperlink" xfId="13" builtinId="9" hidden="1"/>
    <cellStyle name="Followed Hyperlink" xfId="19" builtinId="9" hidden="1"/>
    <cellStyle name="Followed Hyperlink" xfId="37" builtinId="9" hidden="1"/>
    <cellStyle name="Followed Hyperlink" xfId="69" builtinId="9" hidden="1"/>
    <cellStyle name="Followed Hyperlink" xfId="63" builtinId="9" hidden="1"/>
    <cellStyle name="Followed Hyperlink" xfId="51" builtinId="9" hidden="1"/>
    <cellStyle name="Followed Hyperlink" xfId="41" builtinId="9" hidden="1"/>
    <cellStyle name="Followed Hyperlink" xfId="31" builtinId="9" hidden="1"/>
    <cellStyle name="Followed Hyperlink" xfId="81" builtinId="9" hidden="1"/>
    <cellStyle name="Followed Hyperlink" xfId="265" builtinId="9" hidden="1"/>
    <cellStyle name="Followed Hyperlink" xfId="249" builtinId="9" hidden="1"/>
    <cellStyle name="Followed Hyperlink" xfId="241" builtinId="9" hidden="1"/>
    <cellStyle name="Followed Hyperlink" xfId="233" builtinId="9" hidden="1"/>
    <cellStyle name="Followed Hyperlink" xfId="217" builtinId="9" hidden="1"/>
    <cellStyle name="Followed Hyperlink" xfId="209" builtinId="9" hidden="1"/>
    <cellStyle name="Followed Hyperlink" xfId="201" builtinId="9" hidden="1"/>
    <cellStyle name="Followed Hyperlink" xfId="185" builtinId="9" hidden="1"/>
    <cellStyle name="Followed Hyperlink" xfId="177" builtinId="9" hidden="1"/>
    <cellStyle name="Followed Hyperlink" xfId="169" builtinId="9" hidden="1"/>
    <cellStyle name="Followed Hyperlink" xfId="153" builtinId="9" hidden="1"/>
    <cellStyle name="Followed Hyperlink" xfId="145" builtinId="9" hidden="1"/>
    <cellStyle name="Followed Hyperlink" xfId="137" builtinId="9" hidden="1"/>
    <cellStyle name="Followed Hyperlink" xfId="121" builtinId="9" hidden="1"/>
    <cellStyle name="Followed Hyperlink" xfId="113" builtinId="9" hidden="1"/>
    <cellStyle name="Followed Hyperlink" xfId="105" builtinId="9" hidden="1"/>
    <cellStyle name="Followed Hyperlink" xfId="89" builtinId="9" hidden="1"/>
    <cellStyle name="Followed Hyperlink" xfId="97" builtinId="9" hidden="1"/>
    <cellStyle name="Followed Hyperlink" xfId="129" builtinId="9" hidden="1"/>
    <cellStyle name="Followed Hyperlink" xfId="161" builtinId="9" hidden="1"/>
    <cellStyle name="Followed Hyperlink" xfId="193" builtinId="9" hidden="1"/>
    <cellStyle name="Followed Hyperlink" xfId="225" builtinId="9" hidden="1"/>
    <cellStyle name="Followed Hyperlink" xfId="257" builtinId="9" hidden="1"/>
    <cellStyle name="Followed Hyperlink" xfId="255" builtinId="9" hidden="1"/>
    <cellStyle name="Followed Hyperlink" xfId="263" builtinId="9" hidden="1"/>
    <cellStyle name="Followed Hyperlink" xfId="271" builtinId="9" hidden="1"/>
    <cellStyle name="Followed Hyperlink" xfId="279" builtinId="9" hidden="1"/>
    <cellStyle name="Followed Hyperlink" xfId="281" builtinId="9" hidden="1"/>
    <cellStyle name="Followed Hyperlink" xfId="273" builtinId="9" hidden="1"/>
    <cellStyle name="Followed Hyperlink" xfId="247" builtinId="9" hidden="1"/>
    <cellStyle name="Followed Hyperlink" xfId="231" builtinId="9" hidden="1"/>
    <cellStyle name="Followed Hyperlink" xfId="239" builtinId="9" hidden="1"/>
    <cellStyle name="Followed Hyperlink" xfId="223" builtinId="9" hidden="1"/>
    <cellStyle name="Followed Hyperlink" xfId="215" builtinId="9" hidden="1"/>
    <cellStyle name="Hyperlink" xfId="4" builtinId="8" hidden="1"/>
    <cellStyle name="Hyperlink" xfId="24" builtinId="8" hidden="1"/>
    <cellStyle name="Hyperlink" xfId="50" builtinId="8" hidden="1"/>
    <cellStyle name="Hyperlink" xfId="42" builtinId="8" hidden="1"/>
    <cellStyle name="Hyperlink" xfId="34" builtinId="8" hidden="1"/>
    <cellStyle name="Hyperlink" xfId="120" builtinId="8" hidden="1"/>
    <cellStyle name="Hyperlink" xfId="114" builtinId="8" hidden="1"/>
    <cellStyle name="Hyperlink" xfId="106" builtinId="8" hidden="1"/>
    <cellStyle name="Hyperlink" xfId="86" builtinId="8" hidden="1"/>
    <cellStyle name="Hyperlink" xfId="78" builtinId="8" hidden="1"/>
    <cellStyle name="Hyperlink" xfId="68" builtinId="8" hidden="1"/>
    <cellStyle name="Hyperlink" xfId="136" builtinId="8" hidden="1"/>
    <cellStyle name="Hyperlink" xfId="168" builtinId="8" hidden="1"/>
    <cellStyle name="Hyperlink" xfId="200" builtinId="8" hidden="1"/>
    <cellStyle name="Hyperlink" xfId="264" builtinId="8" hidden="1"/>
    <cellStyle name="Hyperlink" xfId="190" builtinId="8" hidden="1"/>
    <cellStyle name="Hyperlink" xfId="196" builtinId="8" hidden="1"/>
    <cellStyle name="Hyperlink" xfId="202" builtinId="8" hidden="1"/>
    <cellStyle name="Hyperlink" xfId="204" builtinId="8" hidden="1"/>
    <cellStyle name="Hyperlink" xfId="206" builtinId="8" hidden="1"/>
    <cellStyle name="Hyperlink" xfId="212" builtinId="8" hidden="1"/>
    <cellStyle name="Hyperlink" xfId="218" builtinId="8" hidden="1"/>
    <cellStyle name="Hyperlink" xfId="220" builtinId="8" hidden="1"/>
    <cellStyle name="Hyperlink" xfId="226" builtinId="8" hidden="1"/>
    <cellStyle name="Hyperlink" xfId="228" builtinId="8" hidden="1"/>
    <cellStyle name="Hyperlink" xfId="230" builtinId="8" hidden="1"/>
    <cellStyle name="Hyperlink" xfId="238" builtinId="8" hidden="1"/>
    <cellStyle name="Hyperlink" xfId="242" builtinId="8" hidden="1"/>
    <cellStyle name="Hyperlink" xfId="244" builtinId="8" hidden="1"/>
    <cellStyle name="Hyperlink" xfId="250" builtinId="8" hidden="1"/>
    <cellStyle name="Hyperlink" xfId="252" builtinId="8" hidden="1"/>
    <cellStyle name="Hyperlink" xfId="254" builtinId="8" hidden="1"/>
    <cellStyle name="Hyperlink" xfId="262" builtinId="8" hidden="1"/>
    <cellStyle name="Hyperlink" xfId="266" builtinId="8" hidden="1"/>
    <cellStyle name="Hyperlink" xfId="268" builtinId="8" hidden="1"/>
    <cellStyle name="Hyperlink" xfId="274" builtinId="8" hidden="1"/>
    <cellStyle name="Hyperlink" xfId="276" builtinId="8" hidden="1"/>
    <cellStyle name="Hyperlink" xfId="282" builtinId="8" hidden="1"/>
    <cellStyle name="Hyperlink" xfId="258" builtinId="8" hidden="1"/>
    <cellStyle name="Hyperlink" xfId="236" builtinId="8" hidden="1"/>
    <cellStyle name="Hyperlink" xfId="214" builtinId="8" hidden="1"/>
    <cellStyle name="Hyperlink" xfId="156" builtinId="8" hidden="1"/>
    <cellStyle name="Hyperlink" xfId="158" builtinId="8" hidden="1"/>
    <cellStyle name="Hyperlink" xfId="162" builtinId="8" hidden="1"/>
    <cellStyle name="Hyperlink" xfId="166" builtinId="8" hidden="1"/>
    <cellStyle name="Hyperlink" xfId="170" builtinId="8" hidden="1"/>
    <cellStyle name="Hyperlink" xfId="172" builtinId="8" hidden="1"/>
    <cellStyle name="Hyperlink" xfId="178" builtinId="8" hidden="1"/>
    <cellStyle name="Hyperlink" xfId="180" builtinId="8" hidden="1"/>
    <cellStyle name="Hyperlink" xfId="182" builtinId="8" hidden="1"/>
    <cellStyle name="Hyperlink" xfId="188" builtinId="8" hidden="1"/>
    <cellStyle name="Hyperlink" xfId="138" builtinId="8" hidden="1"/>
    <cellStyle name="Hyperlink" xfId="140" builtinId="8" hidden="1"/>
    <cellStyle name="Hyperlink" xfId="146" builtinId="8" hidden="1"/>
    <cellStyle name="Hyperlink" xfId="148" builtinId="8" hidden="1"/>
    <cellStyle name="Hyperlink" xfId="154" builtinId="8" hidden="1"/>
    <cellStyle name="Hyperlink" xfId="130" builtinId="8" hidden="1"/>
    <cellStyle name="Hyperlink" xfId="132" builtinId="8" hidden="1"/>
    <cellStyle name="Hyperlink" xfId="134" builtinId="8" hidden="1"/>
    <cellStyle name="Hyperlink" xfId="124" builtinId="8" hidden="1"/>
    <cellStyle name="Hyperlink" xfId="126" builtinId="8" hidden="1"/>
    <cellStyle name="Hyperlink" xfId="150" builtinId="8" hidden="1"/>
    <cellStyle name="Hyperlink" xfId="142" builtinId="8" hidden="1"/>
    <cellStyle name="Hyperlink" xfId="186" builtinId="8" hidden="1"/>
    <cellStyle name="Hyperlink" xfId="174" builtinId="8" hidden="1"/>
    <cellStyle name="Hyperlink" xfId="164" builtinId="8" hidden="1"/>
    <cellStyle name="Hyperlink" xfId="194" builtinId="8" hidden="1"/>
    <cellStyle name="Hyperlink" xfId="278" builtinId="8" hidden="1"/>
    <cellStyle name="Hyperlink" xfId="270" builtinId="8" hidden="1"/>
    <cellStyle name="Hyperlink" xfId="260" builtinId="8" hidden="1"/>
    <cellStyle name="Hyperlink" xfId="246" builtinId="8" hidden="1"/>
    <cellStyle name="Hyperlink" xfId="234" builtinId="8" hidden="1"/>
    <cellStyle name="Hyperlink" xfId="222" builtinId="8" hidden="1"/>
    <cellStyle name="Hyperlink" xfId="210" builtinId="8" hidden="1"/>
    <cellStyle name="Hyperlink" xfId="198" builtinId="8" hidden="1"/>
    <cellStyle name="Hyperlink" xfId="232" builtinId="8" hidden="1"/>
    <cellStyle name="Hyperlink" xfId="60" builtinId="8" hidden="1"/>
    <cellStyle name="Hyperlink" xfId="96" builtinId="8" hidden="1"/>
    <cellStyle name="Hyperlink" xfId="56" builtinId="8" hidden="1"/>
    <cellStyle name="Hyperlink" xfId="18" builtinId="8" hidden="1"/>
    <cellStyle name="Hyperlink" xfId="84" builtinId="8" hidden="1"/>
    <cellStyle name="Hyperlink" xfId="92" builtinId="8" hidden="1"/>
    <cellStyle name="Hyperlink" xfId="94" builtinId="8" hidden="1"/>
    <cellStyle name="Hyperlink" xfId="98" builtinId="8" hidden="1"/>
    <cellStyle name="Hyperlink" xfId="100" builtinId="8" hidden="1"/>
    <cellStyle name="Hyperlink" xfId="102" builtinId="8" hidden="1"/>
    <cellStyle name="Hyperlink" xfId="108" builtinId="8" hidden="1"/>
    <cellStyle name="Hyperlink" xfId="110" builtinId="8" hidden="1"/>
    <cellStyle name="Hyperlink" xfId="116" builtinId="8" hidden="1"/>
    <cellStyle name="Hyperlink" xfId="118" builtinId="8" hidden="1"/>
    <cellStyle name="Hyperlink" xfId="122" builtinId="8" hidden="1"/>
    <cellStyle name="Hyperlink" xfId="104" builtinId="8" hidden="1"/>
    <cellStyle name="Hyperlink" xfId="88" builtinId="8" hidden="1"/>
    <cellStyle name="Hyperlink" xfId="72" builtinId="8" hidden="1"/>
    <cellStyle name="Hyperlink" xfId="28" builtinId="8" hidden="1"/>
    <cellStyle name="Hyperlink" xfId="32" builtinId="8" hidden="1"/>
    <cellStyle name="Hyperlink" xfId="36" builtinId="8" hidden="1"/>
    <cellStyle name="Hyperlink" xfId="38" builtinId="8" hidden="1"/>
    <cellStyle name="Hyperlink" xfId="40" builtinId="8" hidden="1"/>
    <cellStyle name="Hyperlink" xfId="44" builtinId="8" hidden="1"/>
    <cellStyle name="Hyperlink" xfId="46" builtinId="8" hidden="1"/>
    <cellStyle name="Hyperlink" xfId="48" builtinId="8" hidden="1"/>
    <cellStyle name="Hyperlink" xfId="14" builtinId="8" hidden="1"/>
    <cellStyle name="Hyperlink" xfId="16" builtinId="8" hidden="1"/>
    <cellStyle name="Hyperlink" xfId="20" builtinId="8" hidden="1"/>
    <cellStyle name="Hyperlink" xfId="22" builtinId="8" hidden="1"/>
    <cellStyle name="Hyperlink" xfId="26" builtinId="8" hidden="1"/>
    <cellStyle name="Hyperlink" xfId="8" builtinId="8" hidden="1"/>
    <cellStyle name="Hyperlink" xfId="10" builtinId="8" hidden="1"/>
    <cellStyle name="Hyperlink" xfId="2" builtinId="8" hidden="1"/>
    <cellStyle name="Hyperlink" xfId="12" builtinId="8" hidden="1"/>
    <cellStyle name="Hyperlink" xfId="52" builtinId="8" hidden="1"/>
    <cellStyle name="Hyperlink" xfId="30" builtinId="8" hidden="1"/>
    <cellStyle name="Hyperlink" xfId="112" builtinId="8" hidden="1"/>
    <cellStyle name="Hyperlink" xfId="90" builtinId="8" hidden="1"/>
    <cellStyle name="Hyperlink" xfId="152" builtinId="8" hidden="1"/>
    <cellStyle name="Hyperlink" xfId="144" builtinId="8" hidden="1"/>
    <cellStyle name="Hyperlink" xfId="128" builtinId="8" hidden="1"/>
    <cellStyle name="Hyperlink" xfId="54" builtinId="8" hidden="1"/>
    <cellStyle name="Hyperlink" xfId="58" builtinId="8" hidden="1"/>
    <cellStyle name="Hyperlink" xfId="62" builtinId="8" hidden="1"/>
    <cellStyle name="Hyperlink" xfId="64" builtinId="8" hidden="1"/>
    <cellStyle name="Hyperlink" xfId="66" builtinId="8" hidden="1"/>
    <cellStyle name="Hyperlink" xfId="70" builtinId="8" hidden="1"/>
    <cellStyle name="Hyperlink" xfId="74" builtinId="8" hidden="1"/>
    <cellStyle name="Hyperlink" xfId="76" builtinId="8" hidden="1"/>
    <cellStyle name="Hyperlink" xfId="80" builtinId="8" hidden="1"/>
    <cellStyle name="Hyperlink" xfId="82" builtinId="8" hidden="1"/>
    <cellStyle name="Hyperlink" xfId="224" builtinId="8" hidden="1"/>
    <cellStyle name="Hyperlink" xfId="216" builtinId="8" hidden="1"/>
    <cellStyle name="Hyperlink" xfId="208" builtinId="8" hidden="1"/>
    <cellStyle name="Hyperlink" xfId="192" builtinId="8" hidden="1"/>
    <cellStyle name="Hyperlink" xfId="184" builtinId="8" hidden="1"/>
    <cellStyle name="Hyperlink" xfId="160" builtinId="8" hidden="1"/>
    <cellStyle name="Hyperlink" xfId="176" builtinId="8" hidden="1"/>
    <cellStyle name="Hyperlink" xfId="256" builtinId="8" hidden="1"/>
    <cellStyle name="Hyperlink" xfId="248" builtinId="8" hidden="1"/>
    <cellStyle name="Hyperlink" xfId="240" builtinId="8" hidden="1"/>
    <cellStyle name="Hyperlink" xfId="272" builtinId="8" hidden="1"/>
    <cellStyle name="Hyperlink" xfId="280" builtinId="8" hidden="1"/>
    <cellStyle name="Normal" xfId="0" builtinId="0"/>
    <cellStyle name="Normal_Sheet2" xfId="7" xr:uid="{00000000-0005-0000-0000-00001A010000}"/>
    <cellStyle name="Per cent" xfId="6"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50"/>
  <sheetViews>
    <sheetView topLeftCell="A8" workbookViewId="0">
      <selection activeCell="H13" sqref="H13"/>
    </sheetView>
  </sheetViews>
  <sheetFormatPr defaultColWidth="11.19921875" defaultRowHeight="15.6" x14ac:dyDescent="0.3"/>
  <cols>
    <col min="1" max="1" width="4.19921875" customWidth="1"/>
    <col min="2" max="2" width="10.69921875" customWidth="1"/>
    <col min="3" max="3" width="43.19921875" customWidth="1"/>
    <col min="4" max="8" width="13" customWidth="1"/>
    <col min="9" max="9" width="13" style="103" customWidth="1"/>
    <col min="10" max="11" width="13" style="73" customWidth="1"/>
    <col min="12" max="12" width="51.5" customWidth="1"/>
    <col min="13" max="13" width="61.5" customWidth="1"/>
  </cols>
  <sheetData>
    <row r="1" spans="2:13" ht="16.2" hidden="1" customHeight="1" thickBot="1" x14ac:dyDescent="0.35"/>
    <row r="2" spans="2:13" ht="21" x14ac:dyDescent="0.3">
      <c r="B2" s="316" t="s">
        <v>102</v>
      </c>
      <c r="C2" s="318"/>
      <c r="D2" s="384"/>
      <c r="E2" s="384"/>
      <c r="F2" s="384"/>
      <c r="G2" s="384"/>
      <c r="H2" s="384"/>
      <c r="I2" s="385"/>
      <c r="J2" s="386"/>
      <c r="K2" s="386"/>
      <c r="L2" s="387"/>
    </row>
    <row r="3" spans="2:13" ht="21" x14ac:dyDescent="0.3">
      <c r="B3" s="388" t="s">
        <v>0</v>
      </c>
      <c r="C3" s="325"/>
      <c r="D3" s="325"/>
      <c r="E3" s="326"/>
      <c r="F3" s="326"/>
      <c r="G3" s="327"/>
      <c r="H3" s="389"/>
      <c r="I3" s="390"/>
      <c r="J3" s="389"/>
      <c r="K3" s="389"/>
      <c r="L3" s="391"/>
    </row>
    <row r="4" spans="2:13" ht="63" thickBot="1" x14ac:dyDescent="0.35">
      <c r="B4" s="392" t="s">
        <v>1</v>
      </c>
      <c r="C4" s="393" t="s">
        <v>2</v>
      </c>
      <c r="D4" s="285" t="s">
        <v>196</v>
      </c>
      <c r="E4" s="285" t="s">
        <v>99</v>
      </c>
      <c r="F4" s="285" t="s">
        <v>269</v>
      </c>
      <c r="G4" s="285" t="s">
        <v>197</v>
      </c>
      <c r="H4" s="285" t="s">
        <v>198</v>
      </c>
      <c r="I4" s="286" t="s">
        <v>211</v>
      </c>
      <c r="J4" s="285" t="s">
        <v>200</v>
      </c>
      <c r="K4" s="285" t="s">
        <v>201</v>
      </c>
      <c r="L4" s="394" t="s">
        <v>3</v>
      </c>
    </row>
    <row r="5" spans="2:13" x14ac:dyDescent="0.3">
      <c r="B5" s="47"/>
      <c r="C5" s="37"/>
      <c r="D5" s="6"/>
      <c r="E5" s="39"/>
      <c r="F5" s="39"/>
      <c r="G5" s="6"/>
      <c r="H5" s="6"/>
      <c r="I5" s="104"/>
      <c r="J5" s="105"/>
      <c r="K5" s="105"/>
      <c r="L5" s="38"/>
    </row>
    <row r="6" spans="2:13" ht="37.200000000000003" customHeight="1" x14ac:dyDescent="0.3">
      <c r="B6" s="48">
        <v>100</v>
      </c>
      <c r="C6" s="5" t="s">
        <v>4</v>
      </c>
      <c r="D6" s="121">
        <f>+'100 Income'!D28</f>
        <v>197242</v>
      </c>
      <c r="E6" s="121">
        <f>+'100 Income'!E28</f>
        <v>172568.75</v>
      </c>
      <c r="F6" s="121">
        <f>+'100 Income'!F28</f>
        <v>93912</v>
      </c>
      <c r="G6" s="166">
        <f>+'100 Income'!G28</f>
        <v>192318.50999999998</v>
      </c>
      <c r="H6" s="191">
        <f>+'100 Income'!H28</f>
        <v>186244.04</v>
      </c>
      <c r="I6" s="106">
        <f>IFERROR(G6/E6,"n/a")</f>
        <v>1.1144457498822933</v>
      </c>
      <c r="J6" s="106">
        <f>IFERROR(H6/E6,"n/a")</f>
        <v>1.0792454601426968</v>
      </c>
      <c r="K6" s="106">
        <f>IFERROR(H6/G6,"n/a")</f>
        <v>0.9684145327457041</v>
      </c>
      <c r="L6" s="129" t="s">
        <v>180</v>
      </c>
    </row>
    <row r="7" spans="2:13" x14ac:dyDescent="0.3">
      <c r="B7" s="47"/>
      <c r="C7" s="8"/>
      <c r="D7" s="124"/>
      <c r="E7" s="124"/>
      <c r="F7" s="124"/>
      <c r="G7" s="163"/>
      <c r="H7" s="188"/>
      <c r="I7" s="107"/>
      <c r="J7" s="107"/>
      <c r="K7" s="107"/>
      <c r="L7" s="96"/>
    </row>
    <row r="8" spans="2:13" x14ac:dyDescent="0.3">
      <c r="B8" s="49">
        <v>101</v>
      </c>
      <c r="C8" s="7" t="s">
        <v>5</v>
      </c>
      <c r="D8" s="44">
        <f>+'101 Admin'!D25</f>
        <v>123239</v>
      </c>
      <c r="E8" s="44">
        <f>+'101 Admin'!E25</f>
        <v>108485.93</v>
      </c>
      <c r="F8" s="44">
        <f>+'101 Admin'!F25</f>
        <v>48055</v>
      </c>
      <c r="G8" s="189">
        <f>+'101 Admin'!G25</f>
        <v>92713.1</v>
      </c>
      <c r="H8" s="192">
        <f>+'101 Admin'!H25</f>
        <v>99012.324999999997</v>
      </c>
      <c r="I8" s="108">
        <f t="shared" ref="I8:I14" si="0">IFERROR(G8/E8,"n/a")</f>
        <v>0.85460944105839354</v>
      </c>
      <c r="J8" s="108">
        <f t="shared" ref="J8:J14" si="1">IFERROR(H8/E8,"n/a")</f>
        <v>0.91267434403705627</v>
      </c>
      <c r="K8" s="108">
        <f t="shared" ref="K8:K14" si="2">IFERROR(H8/G8,"n/a")</f>
        <v>1.0679432032797953</v>
      </c>
      <c r="L8" s="97" t="s">
        <v>179</v>
      </c>
    </row>
    <row r="9" spans="2:13" x14ac:dyDescent="0.3">
      <c r="B9" s="49">
        <v>101</v>
      </c>
      <c r="C9" s="7" t="s">
        <v>6</v>
      </c>
      <c r="D9" s="44">
        <f>'101 Admin'!D31</f>
        <v>30095</v>
      </c>
      <c r="E9" s="44">
        <f>'101 Admin'!E31</f>
        <v>18016</v>
      </c>
      <c r="F9" s="44">
        <f>'101 Admin'!F31</f>
        <v>0</v>
      </c>
      <c r="G9" s="189">
        <f>'101 Admin'!G31</f>
        <v>17998.61</v>
      </c>
      <c r="H9" s="192">
        <f>'101 Admin'!H31</f>
        <v>22082</v>
      </c>
      <c r="I9" s="108">
        <f t="shared" si="0"/>
        <v>0.99903474689165195</v>
      </c>
      <c r="J9" s="108">
        <f t="shared" si="1"/>
        <v>1.2256882770870337</v>
      </c>
      <c r="K9" s="108">
        <f t="shared" si="2"/>
        <v>1.2268725196001247</v>
      </c>
      <c r="L9" s="97" t="s">
        <v>179</v>
      </c>
    </row>
    <row r="10" spans="2:13" x14ac:dyDescent="0.3">
      <c r="B10" s="49">
        <v>104</v>
      </c>
      <c r="C10" s="7" t="s">
        <v>7</v>
      </c>
      <c r="D10" s="44">
        <f>+'104 Communications'!D16</f>
        <v>2369</v>
      </c>
      <c r="E10" s="44">
        <f>+'104 Communications'!E16</f>
        <v>5778</v>
      </c>
      <c r="F10" s="44">
        <f>+'104 Communications'!F16</f>
        <v>1146</v>
      </c>
      <c r="G10" s="189">
        <f>+'104 Communications'!G16</f>
        <v>3086.12</v>
      </c>
      <c r="H10" s="192">
        <f>+'104 Communications'!H16</f>
        <v>5269.5</v>
      </c>
      <c r="I10" s="109">
        <f t="shared" si="0"/>
        <v>0.53411561093804083</v>
      </c>
      <c r="J10" s="109">
        <f t="shared" si="1"/>
        <v>0.911993769470405</v>
      </c>
      <c r="K10" s="109">
        <f t="shared" si="2"/>
        <v>1.7074838308296503</v>
      </c>
      <c r="L10" s="97" t="s">
        <v>181</v>
      </c>
      <c r="M10">
        <f>3228.42+25628.85</f>
        <v>28857.269999999997</v>
      </c>
    </row>
    <row r="11" spans="2:13" x14ac:dyDescent="0.3">
      <c r="B11" s="49">
        <v>301</v>
      </c>
      <c r="C11" s="7" t="s">
        <v>8</v>
      </c>
      <c r="D11" s="44">
        <f>+'301 Fairground &amp; Cemetery'!D26</f>
        <v>24575</v>
      </c>
      <c r="E11" s="44">
        <f>+'301 Fairground &amp; Cemetery'!E26</f>
        <v>34179</v>
      </c>
      <c r="F11" s="44">
        <f>+'301 Fairground &amp; Cemetery'!F26</f>
        <v>9088</v>
      </c>
      <c r="G11" s="189">
        <f>+'301 Fairground &amp; Cemetery'!G26</f>
        <v>30183.040000000001</v>
      </c>
      <c r="H11" s="192">
        <f>+'301 Fairground &amp; Cemetery'!H26</f>
        <v>44480.4</v>
      </c>
      <c r="I11" s="109">
        <f t="shared" si="0"/>
        <v>0.88308727581263347</v>
      </c>
      <c r="J11" s="109">
        <f t="shared" si="1"/>
        <v>1.3013955937856578</v>
      </c>
      <c r="K11" s="109">
        <f t="shared" si="2"/>
        <v>1.4736885350183415</v>
      </c>
      <c r="L11" s="97" t="s">
        <v>182</v>
      </c>
    </row>
    <row r="12" spans="2:13" x14ac:dyDescent="0.3">
      <c r="B12" s="49">
        <v>302</v>
      </c>
      <c r="C12" s="7" t="s">
        <v>9</v>
      </c>
      <c r="D12" s="44">
        <f>+'302 Roads, Footpaths, Commons'!D28</f>
        <v>8196</v>
      </c>
      <c r="E12" s="44">
        <f>+'302 Roads, Footpaths, Commons'!E28</f>
        <v>15000</v>
      </c>
      <c r="F12" s="44">
        <f>+'302 Roads, Footpaths, Commons'!F28</f>
        <v>23</v>
      </c>
      <c r="G12" s="189">
        <f>+'302 Roads, Footpaths, Commons'!G28</f>
        <v>12000</v>
      </c>
      <c r="H12" s="192">
        <f>+'302 Roads, Footpaths, Commons'!H28</f>
        <v>15400</v>
      </c>
      <c r="I12" s="109">
        <f t="shared" si="0"/>
        <v>0.8</v>
      </c>
      <c r="J12" s="109">
        <f t="shared" si="1"/>
        <v>1.0266666666666666</v>
      </c>
      <c r="K12" s="109">
        <f t="shared" si="2"/>
        <v>1.2833333333333334</v>
      </c>
      <c r="L12" s="97" t="s">
        <v>183</v>
      </c>
    </row>
    <row r="13" spans="2:13" x14ac:dyDescent="0.3">
      <c r="B13" s="49">
        <v>805</v>
      </c>
      <c r="C13" s="7" t="s">
        <v>129</v>
      </c>
      <c r="D13" s="44">
        <f>+'805 Community Projects'!D9</f>
        <v>0</v>
      </c>
      <c r="E13" s="44">
        <f>'805 Community Projects'!E9</f>
        <v>0</v>
      </c>
      <c r="F13" s="44">
        <f>'805 Community Projects'!F9</f>
        <v>0</v>
      </c>
      <c r="G13" s="189">
        <f>+'805 Community Projects'!G9</f>
        <v>0</v>
      </c>
      <c r="H13" s="192">
        <f>+'805 Community Projects'!H9</f>
        <v>0</v>
      </c>
      <c r="I13" s="109" t="str">
        <f t="shared" si="0"/>
        <v>n/a</v>
      </c>
      <c r="J13" s="109" t="str">
        <f t="shared" si="1"/>
        <v>n/a</v>
      </c>
      <c r="K13" s="109" t="str">
        <f t="shared" si="2"/>
        <v>n/a</v>
      </c>
      <c r="L13" s="97" t="s">
        <v>184</v>
      </c>
    </row>
    <row r="14" spans="2:13" ht="30" customHeight="1" x14ac:dyDescent="0.3">
      <c r="B14" s="50"/>
      <c r="C14" s="45" t="s">
        <v>10</v>
      </c>
      <c r="D14" s="120">
        <f>SUM(D8:D13)</f>
        <v>188474</v>
      </c>
      <c r="E14" s="120">
        <f>SUM(E8:E13)</f>
        <v>181458.93</v>
      </c>
      <c r="F14" s="120">
        <f>SUM(F8:F13)</f>
        <v>58312</v>
      </c>
      <c r="G14" s="178">
        <f>SUM(G8:G13)</f>
        <v>155980.87</v>
      </c>
      <c r="H14" s="193">
        <f>SUM(H8:H13)</f>
        <v>186244.22500000001</v>
      </c>
      <c r="I14" s="110">
        <f t="shared" si="0"/>
        <v>0.85959324239374713</v>
      </c>
      <c r="J14" s="110">
        <f t="shared" si="1"/>
        <v>1.026371229015844</v>
      </c>
      <c r="K14" s="110">
        <f t="shared" si="2"/>
        <v>1.1940196576669948</v>
      </c>
      <c r="L14" s="127"/>
    </row>
    <row r="15" spans="2:13" x14ac:dyDescent="0.3">
      <c r="B15" s="47"/>
      <c r="C15" s="8"/>
      <c r="D15" s="15"/>
      <c r="E15" s="15"/>
      <c r="F15" s="15"/>
      <c r="G15" s="163"/>
      <c r="H15" s="194"/>
      <c r="I15" s="111"/>
      <c r="J15" s="111"/>
      <c r="K15" s="111"/>
      <c r="L15" s="98"/>
    </row>
    <row r="16" spans="2:13" ht="47.4" thickBot="1" x14ac:dyDescent="0.35">
      <c r="B16" s="51"/>
      <c r="C16" s="89" t="s">
        <v>11</v>
      </c>
      <c r="D16" s="184">
        <f>+D6-D14</f>
        <v>8768</v>
      </c>
      <c r="E16" s="184">
        <f>+E6-E14</f>
        <v>-8890.179999999993</v>
      </c>
      <c r="F16" s="184">
        <f>+F6-F14</f>
        <v>35600</v>
      </c>
      <c r="G16" s="190">
        <f>+G6-G14</f>
        <v>36337.639999999985</v>
      </c>
      <c r="H16" s="195">
        <f>+H6-H14</f>
        <v>-0.18499999999767169</v>
      </c>
      <c r="I16" s="135"/>
      <c r="J16" s="135"/>
      <c r="K16" s="135"/>
      <c r="L16" s="136"/>
    </row>
    <row r="17" spans="2:12" x14ac:dyDescent="0.3">
      <c r="B17" s="407"/>
      <c r="C17" s="408"/>
      <c r="D17" s="258"/>
      <c r="E17" s="258"/>
      <c r="F17" s="258"/>
      <c r="G17" s="258"/>
      <c r="H17" s="258"/>
      <c r="I17" s="409"/>
      <c r="J17" s="409"/>
      <c r="K17" s="409"/>
      <c r="L17" s="410"/>
    </row>
    <row r="18" spans="2:12" x14ac:dyDescent="0.3">
      <c r="B18" s="432"/>
      <c r="C18" s="433" t="s">
        <v>116</v>
      </c>
      <c r="D18" s="15"/>
      <c r="E18" s="15"/>
      <c r="F18" s="15"/>
      <c r="G18" s="15"/>
      <c r="H18" s="15"/>
      <c r="I18" s="434"/>
      <c r="J18" s="434"/>
      <c r="K18" s="434"/>
      <c r="L18" s="435"/>
    </row>
    <row r="19" spans="2:12" x14ac:dyDescent="0.3">
      <c r="B19" s="436">
        <v>100</v>
      </c>
      <c r="C19" s="437" t="s">
        <v>209</v>
      </c>
      <c r="D19" s="1">
        <f>'100 Income'!D30</f>
        <v>17393</v>
      </c>
      <c r="E19" s="1">
        <f>+'100 Income'!E36</f>
        <v>0</v>
      </c>
      <c r="F19" s="1">
        <f>+'100 Income'!F36</f>
        <v>54406</v>
      </c>
      <c r="G19" s="266">
        <f>'100 Income'!G30</f>
        <v>81914.560000000012</v>
      </c>
      <c r="H19" s="122">
        <f>+'100 Income'!H36</f>
        <v>95519.650000000009</v>
      </c>
      <c r="I19" s="112" t="str">
        <f>IFERROR(G19/E19,"n/a")</f>
        <v>n/a</v>
      </c>
      <c r="J19" s="112" t="str">
        <f>IFERROR(H19/E19,"n/a")</f>
        <v>n/a</v>
      </c>
      <c r="K19" s="112">
        <f>IFERROR(H19/G19,"n/a")</f>
        <v>1.1660887881226487</v>
      </c>
      <c r="L19" s="435" t="s">
        <v>185</v>
      </c>
    </row>
    <row r="20" spans="2:12" x14ac:dyDescent="0.3">
      <c r="B20" s="436">
        <v>100</v>
      </c>
      <c r="C20" s="437" t="s">
        <v>126</v>
      </c>
      <c r="D20" s="1">
        <f>'100 Income'!D32</f>
        <v>3477</v>
      </c>
      <c r="E20" s="1">
        <v>0</v>
      </c>
      <c r="F20" s="1">
        <v>0</v>
      </c>
      <c r="G20" s="266">
        <f>'100 Income'!G32</f>
        <v>0</v>
      </c>
      <c r="H20" s="122">
        <v>0</v>
      </c>
      <c r="I20" s="112"/>
      <c r="J20" s="112"/>
      <c r="K20" s="112"/>
      <c r="L20" s="435" t="s">
        <v>186</v>
      </c>
    </row>
    <row r="21" spans="2:12" x14ac:dyDescent="0.3">
      <c r="B21" s="436">
        <v>100</v>
      </c>
      <c r="C21" s="437" t="s">
        <v>210</v>
      </c>
      <c r="D21" s="1">
        <f>'100 Income'!D34</f>
        <v>4</v>
      </c>
      <c r="E21" s="1"/>
      <c r="F21" s="1"/>
      <c r="G21" s="266"/>
      <c r="H21" s="122"/>
      <c r="I21" s="112"/>
      <c r="J21" s="112"/>
      <c r="K21" s="112"/>
      <c r="L21" s="438"/>
    </row>
    <row r="22" spans="2:12" x14ac:dyDescent="0.3">
      <c r="B22" s="436"/>
      <c r="C22" s="439" t="s">
        <v>136</v>
      </c>
      <c r="D22" s="100">
        <f>SUM(D19:D21)</f>
        <v>20874</v>
      </c>
      <c r="E22" s="100">
        <f t="shared" ref="E22" si="3">SUM(E19:E20)</f>
        <v>0</v>
      </c>
      <c r="F22" s="100">
        <f t="shared" ref="F22" si="4">SUM(F19:F20)</f>
        <v>54406</v>
      </c>
      <c r="G22" s="452">
        <f>SUM(G19:G20)</f>
        <v>81914.560000000012</v>
      </c>
      <c r="H22" s="168">
        <f>SUM(H19:H20)</f>
        <v>95519.650000000009</v>
      </c>
      <c r="I22" s="440"/>
      <c r="J22" s="440"/>
      <c r="K22" s="440"/>
      <c r="L22" s="441"/>
    </row>
    <row r="23" spans="2:12" x14ac:dyDescent="0.3">
      <c r="B23" s="436"/>
      <c r="C23" s="437"/>
      <c r="D23" s="1"/>
      <c r="E23" s="1"/>
      <c r="F23" s="1"/>
      <c r="G23" s="266"/>
      <c r="H23" s="122"/>
      <c r="I23" s="112"/>
      <c r="J23" s="112"/>
      <c r="K23" s="112"/>
      <c r="L23" s="435"/>
    </row>
    <row r="24" spans="2:12" x14ac:dyDescent="0.3">
      <c r="B24" s="436"/>
      <c r="C24" s="433" t="s">
        <v>106</v>
      </c>
      <c r="D24" s="1"/>
      <c r="E24" s="1"/>
      <c r="F24" s="1"/>
      <c r="G24" s="266"/>
      <c r="H24" s="122"/>
      <c r="I24" s="112"/>
      <c r="J24" s="112"/>
      <c r="K24" s="112"/>
      <c r="L24" s="435"/>
    </row>
    <row r="25" spans="2:12" x14ac:dyDescent="0.3">
      <c r="B25" s="436">
        <v>101</v>
      </c>
      <c r="C25" s="437" t="s">
        <v>117</v>
      </c>
      <c r="D25" s="1">
        <f>'101 Admin'!D47</f>
        <v>78615</v>
      </c>
      <c r="E25" s="1">
        <f>'101 Admin'!E47</f>
        <v>0</v>
      </c>
      <c r="F25" s="1">
        <f>'101 Admin'!F47</f>
        <v>10491</v>
      </c>
      <c r="G25" s="266">
        <f>'101 Admin'!G47</f>
        <v>26531.11</v>
      </c>
      <c r="H25" s="122">
        <f>'101 Admin'!H47</f>
        <v>77888</v>
      </c>
      <c r="I25" s="112" t="str">
        <f>IFERROR(G25/E25,"n/a")</f>
        <v>n/a</v>
      </c>
      <c r="J25" s="112" t="str">
        <f>IFERROR(H25/E25,"n/a")</f>
        <v>n/a</v>
      </c>
      <c r="K25" s="112">
        <f>IFERROR(H25/G25,"n/a")</f>
        <v>2.9357233828513016</v>
      </c>
      <c r="L25" s="435" t="s">
        <v>187</v>
      </c>
    </row>
    <row r="26" spans="2:12" x14ac:dyDescent="0.3">
      <c r="B26" s="436">
        <v>104</v>
      </c>
      <c r="C26" s="437" t="s">
        <v>7</v>
      </c>
      <c r="D26" s="1">
        <f>'104 Communications'!D20</f>
        <v>0</v>
      </c>
      <c r="E26" s="1">
        <f>'104 Communications'!E20</f>
        <v>0</v>
      </c>
      <c r="F26" s="1">
        <f>'104 Communications'!F20</f>
        <v>0</v>
      </c>
      <c r="G26" s="266">
        <f>'104 Communications'!G20</f>
        <v>0</v>
      </c>
      <c r="H26" s="122">
        <f>'104 Communications'!H20</f>
        <v>0</v>
      </c>
      <c r="I26" s="112" t="str">
        <f>IFERROR(G26/E26,"n/a")</f>
        <v>n/a</v>
      </c>
      <c r="J26" s="112" t="str">
        <f>IFERROR(H26/E26,"n/a")</f>
        <v>n/a</v>
      </c>
      <c r="K26" s="112" t="str">
        <f t="shared" ref="K26:K29" si="5">IFERROR(H26/G26,"n/a")</f>
        <v>n/a</v>
      </c>
      <c r="L26" s="435" t="s">
        <v>188</v>
      </c>
    </row>
    <row r="27" spans="2:12" x14ac:dyDescent="0.3">
      <c r="B27" s="436">
        <v>301</v>
      </c>
      <c r="C27" s="437" t="s">
        <v>118</v>
      </c>
      <c r="D27" s="1">
        <f>'301 Fairground &amp; Cemetery'!D36</f>
        <v>5972.63</v>
      </c>
      <c r="E27" s="1">
        <f>'301 Fairground &amp; Cemetery'!E36</f>
        <v>0</v>
      </c>
      <c r="F27" s="1">
        <f>'301 Fairground &amp; Cemetery'!F36</f>
        <v>0</v>
      </c>
      <c r="G27" s="266">
        <f>'301 Fairground &amp; Cemetery'!G36</f>
        <v>6770</v>
      </c>
      <c r="H27" s="122">
        <f>'301 Fairground &amp; Cemetery'!H36</f>
        <v>34785</v>
      </c>
      <c r="I27" s="112" t="str">
        <f>IFERROR(G28/E27,"n/a")</f>
        <v>n/a</v>
      </c>
      <c r="J27" s="112" t="str">
        <f>IFERROR(H27/E27,"n/a")</f>
        <v>n/a</v>
      </c>
      <c r="K27" s="112">
        <f>IFERROR(H27/G28,"n/a")</f>
        <v>4.5017471204866055</v>
      </c>
      <c r="L27" s="435" t="s">
        <v>189</v>
      </c>
    </row>
    <row r="28" spans="2:12" x14ac:dyDescent="0.3">
      <c r="B28" s="436">
        <v>302</v>
      </c>
      <c r="C28" s="437" t="s">
        <v>125</v>
      </c>
      <c r="D28" s="1">
        <f>'302 Roads, Footpaths, Commons'!D35</f>
        <v>6000</v>
      </c>
      <c r="E28" s="1">
        <f>'302 Roads, Footpaths, Commons'!E35</f>
        <v>0</v>
      </c>
      <c r="F28" s="1">
        <f>'302 Roads, Footpaths, Commons'!F35</f>
        <v>0</v>
      </c>
      <c r="G28" s="266">
        <f>'302 Roads, Footpaths, Commons'!G35</f>
        <v>7727</v>
      </c>
      <c r="H28" s="122">
        <f>'302 Roads, Footpaths, Commons'!H35</f>
        <v>3000</v>
      </c>
      <c r="I28" s="112" t="str">
        <f>IFERROR(#REF!/E28,"n/a")</f>
        <v>n/a</v>
      </c>
      <c r="J28" s="112" t="str">
        <f>IFERROR(H28/E28,"n/a")</f>
        <v>n/a</v>
      </c>
      <c r="K28" s="112" t="str">
        <f>IFERROR(H28/#REF!,"n/a")</f>
        <v>n/a</v>
      </c>
      <c r="L28" s="435" t="s">
        <v>190</v>
      </c>
    </row>
    <row r="29" spans="2:12" x14ac:dyDescent="0.3">
      <c r="B29" s="436">
        <v>805</v>
      </c>
      <c r="C29" s="437" t="s">
        <v>93</v>
      </c>
      <c r="D29" s="1">
        <f>'805 Community Projects'!D15</f>
        <v>1643</v>
      </c>
      <c r="E29" s="1">
        <f>'805 Community Projects'!E15</f>
        <v>0</v>
      </c>
      <c r="F29" s="1">
        <f>'805 Community Projects'!F15</f>
        <v>2623</v>
      </c>
      <c r="G29" s="266">
        <f>'805 Community Projects'!G15</f>
        <v>4123</v>
      </c>
      <c r="H29" s="122">
        <f>'805 Community Projects'!H15</f>
        <v>138454</v>
      </c>
      <c r="I29" s="112" t="str">
        <f>IFERROR(G29/E29,"n/a")</f>
        <v>n/a</v>
      </c>
      <c r="J29" s="112" t="str">
        <f>IFERROR(H29/E29,"n/a")</f>
        <v>n/a</v>
      </c>
      <c r="K29" s="112">
        <f t="shared" si="5"/>
        <v>33.580887703128788</v>
      </c>
      <c r="L29" s="435" t="s">
        <v>191</v>
      </c>
    </row>
    <row r="30" spans="2:12" x14ac:dyDescent="0.3">
      <c r="B30" s="436"/>
      <c r="C30" s="437"/>
      <c r="D30" s="1"/>
      <c r="E30" s="1"/>
      <c r="F30" s="1"/>
      <c r="G30" s="266"/>
      <c r="H30" s="122"/>
      <c r="I30" s="112"/>
      <c r="J30" s="112"/>
      <c r="K30" s="112"/>
      <c r="L30" s="438"/>
    </row>
    <row r="31" spans="2:12" x14ac:dyDescent="0.3">
      <c r="B31" s="436"/>
      <c r="C31" s="439" t="s">
        <v>136</v>
      </c>
      <c r="D31" s="100">
        <f>SUM(D25:D30)</f>
        <v>92230.63</v>
      </c>
      <c r="E31" s="100">
        <f t="shared" ref="E31:G31" si="6">SUM(E25:E30)</f>
        <v>0</v>
      </c>
      <c r="F31" s="100">
        <f t="shared" si="6"/>
        <v>13114</v>
      </c>
      <c r="G31" s="452">
        <f t="shared" si="6"/>
        <v>45151.11</v>
      </c>
      <c r="H31" s="168">
        <f>SUM(H25:H29)</f>
        <v>254127</v>
      </c>
      <c r="I31" s="440"/>
      <c r="J31" s="440"/>
      <c r="K31" s="440"/>
      <c r="L31" s="441"/>
    </row>
    <row r="32" spans="2:12" x14ac:dyDescent="0.3">
      <c r="B32" s="436"/>
      <c r="C32" s="437"/>
      <c r="D32" s="1"/>
      <c r="E32" s="1"/>
      <c r="F32" s="1"/>
      <c r="G32" s="266"/>
      <c r="H32" s="122"/>
      <c r="I32" s="112"/>
      <c r="J32" s="112"/>
      <c r="K32" s="112"/>
      <c r="L32" s="435"/>
    </row>
    <row r="33" spans="2:12" ht="18" customHeight="1" x14ac:dyDescent="0.3">
      <c r="B33" s="442"/>
      <c r="C33" s="443" t="s">
        <v>123</v>
      </c>
      <c r="D33" s="444">
        <f>D22-SUM(D25:D29)</f>
        <v>-71356.63</v>
      </c>
      <c r="E33" s="444">
        <f>+E19-E25-E26</f>
        <v>0</v>
      </c>
      <c r="F33" s="444">
        <f>+F19-F25-F26</f>
        <v>43915</v>
      </c>
      <c r="G33" s="453">
        <f>G22-G31</f>
        <v>36763.450000000012</v>
      </c>
      <c r="H33" s="455">
        <f>H22-H31</f>
        <v>-158607.34999999998</v>
      </c>
      <c r="I33" s="445" t="str">
        <f>IFERROR(G33/E33,"n/a")</f>
        <v>n/a</v>
      </c>
      <c r="J33" s="445" t="str">
        <f>IFERROR(H33/E33,"n/a")</f>
        <v>n/a</v>
      </c>
      <c r="K33" s="445">
        <f>IFERROR(H33/G33,"n/a")</f>
        <v>-4.3142672953708079</v>
      </c>
      <c r="L33" s="446"/>
    </row>
    <row r="34" spans="2:12" ht="18" customHeight="1" thickBot="1" x14ac:dyDescent="0.35">
      <c r="B34" s="447"/>
      <c r="C34" s="448" t="s">
        <v>130</v>
      </c>
      <c r="D34" s="449">
        <f>+D33</f>
        <v>-71356.63</v>
      </c>
      <c r="E34" s="449">
        <f>+E33</f>
        <v>0</v>
      </c>
      <c r="F34" s="449">
        <f>+F33</f>
        <v>43915</v>
      </c>
      <c r="G34" s="454">
        <f>+G33</f>
        <v>36763.450000000012</v>
      </c>
      <c r="H34" s="456">
        <f>+H33</f>
        <v>-158607.34999999998</v>
      </c>
      <c r="I34" s="450" t="str">
        <f>IFERROR(G34/E34,"n/a")</f>
        <v>n/a</v>
      </c>
      <c r="J34" s="450" t="str">
        <f>IFERROR(H34/E34,"n/a")</f>
        <v>n/a</v>
      </c>
      <c r="K34" s="450">
        <f>IFERROR(H34/G34,"n/a")</f>
        <v>-4.3142672953708079</v>
      </c>
      <c r="L34" s="451"/>
    </row>
    <row r="35" spans="2:12" x14ac:dyDescent="0.3">
      <c r="B35" s="407"/>
      <c r="C35" s="408"/>
      <c r="D35" s="258"/>
      <c r="E35" s="258"/>
      <c r="F35" s="258"/>
      <c r="G35" s="258"/>
      <c r="H35" s="258"/>
      <c r="I35" s="409"/>
      <c r="J35" s="409"/>
      <c r="K35" s="409"/>
      <c r="L35" s="410"/>
    </row>
    <row r="36" spans="2:12" x14ac:dyDescent="0.3">
      <c r="B36" s="407"/>
      <c r="C36" s="408"/>
      <c r="D36" s="258"/>
      <c r="E36" s="258"/>
      <c r="F36" s="258"/>
      <c r="G36" s="258"/>
      <c r="H36" s="258"/>
      <c r="I36" s="411"/>
      <c r="J36" s="411"/>
      <c r="K36" s="411"/>
      <c r="L36" s="412"/>
    </row>
    <row r="37" spans="2:12" ht="28.95" customHeight="1" thickBot="1" x14ac:dyDescent="0.35">
      <c r="B37" s="413"/>
      <c r="C37" s="512" t="s">
        <v>12</v>
      </c>
      <c r="D37" s="85">
        <f t="shared" ref="D37:E37" si="7">D6+D22-D14-D31</f>
        <v>-62588.630000000005</v>
      </c>
      <c r="E37" s="85">
        <f t="shared" si="7"/>
        <v>-8890.179999999993</v>
      </c>
      <c r="F37" s="85">
        <f t="shared" ref="F37" si="8">F6+F22-F14-F31</f>
        <v>76892</v>
      </c>
      <c r="G37" s="489">
        <f>G6+G22-G14-G31</f>
        <v>73101.090000000011</v>
      </c>
      <c r="H37" s="157">
        <f>H6+H22-H14-H31</f>
        <v>-158607.535</v>
      </c>
      <c r="I37" s="513">
        <f>IFERROR(G37/E37,"n/a")</f>
        <v>-8.2226782809796948</v>
      </c>
      <c r="J37" s="513">
        <f>IFERROR(H37/E37,"n/a")</f>
        <v>17.840756317644878</v>
      </c>
      <c r="K37" s="450">
        <f>IFERROR(H37/G37,"n/a")</f>
        <v>-2.1697013683380093</v>
      </c>
      <c r="L37" s="514"/>
    </row>
    <row r="39" spans="2:12" x14ac:dyDescent="0.3">
      <c r="C39" s="126"/>
    </row>
    <row r="41" spans="2:12" x14ac:dyDescent="0.3">
      <c r="D41" s="46"/>
    </row>
    <row r="42" spans="2:12" x14ac:dyDescent="0.3">
      <c r="D42" s="46"/>
    </row>
    <row r="49" spans="4:4" x14ac:dyDescent="0.3">
      <c r="D49" s="46"/>
    </row>
    <row r="50" spans="4:4" x14ac:dyDescent="0.3">
      <c r="D50" s="46"/>
    </row>
  </sheetData>
  <phoneticPr fontId="10" type="noConversion"/>
  <pageMargins left="0.75000000000000011" right="0.75000000000000011" top="1" bottom="1" header="0.5" footer="0.5"/>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47"/>
  <sheetViews>
    <sheetView topLeftCell="A20" workbookViewId="0">
      <selection activeCell="I4" sqref="I4"/>
    </sheetView>
  </sheetViews>
  <sheetFormatPr defaultColWidth="11.19921875" defaultRowHeight="15.6" x14ac:dyDescent="0.3"/>
  <cols>
    <col min="1" max="1" width="5.19921875" customWidth="1"/>
    <col min="2" max="2" width="10.69921875" style="73" customWidth="1"/>
    <col min="3" max="3" width="48.5" customWidth="1"/>
    <col min="4" max="6" width="10.69921875" customWidth="1"/>
    <col min="7" max="7" width="12.09765625" customWidth="1"/>
    <col min="8" max="9" width="10.69921875" customWidth="1"/>
    <col min="10" max="10" width="53" customWidth="1"/>
  </cols>
  <sheetData>
    <row r="1" spans="2:10" ht="16.2" thickBot="1" x14ac:dyDescent="0.35"/>
    <row r="2" spans="2:10" ht="96" customHeight="1" thickBot="1" x14ac:dyDescent="0.35">
      <c r="B2" s="379" t="s">
        <v>13</v>
      </c>
      <c r="C2" s="380"/>
      <c r="D2" s="381">
        <v>45017</v>
      </c>
      <c r="E2" s="381" t="s">
        <v>212</v>
      </c>
      <c r="F2" s="381" t="s">
        <v>152</v>
      </c>
      <c r="G2" s="381" t="s">
        <v>213</v>
      </c>
      <c r="H2" s="382" t="s">
        <v>217</v>
      </c>
      <c r="I2" s="381">
        <v>45352</v>
      </c>
      <c r="J2" s="383" t="s">
        <v>15</v>
      </c>
    </row>
    <row r="3" spans="2:10" x14ac:dyDescent="0.3">
      <c r="B3" s="74"/>
      <c r="C3" s="71"/>
      <c r="D3" s="40"/>
      <c r="E3" s="40"/>
      <c r="F3" s="40"/>
      <c r="G3" s="40"/>
      <c r="H3" s="40"/>
      <c r="I3" s="40"/>
      <c r="J3" s="88"/>
    </row>
    <row r="4" spans="2:10" ht="28.2" x14ac:dyDescent="0.3">
      <c r="B4" s="90">
        <v>310</v>
      </c>
      <c r="C4" s="91" t="s">
        <v>16</v>
      </c>
      <c r="D4" s="1">
        <v>112377</v>
      </c>
      <c r="E4" s="128"/>
      <c r="F4" s="1">
        <v>0</v>
      </c>
      <c r="G4" s="128"/>
      <c r="H4" s="1">
        <v>0</v>
      </c>
      <c r="I4" s="1">
        <f>D4+'Budget Summary'!G16-E17-F17</f>
        <v>134714.63999999998</v>
      </c>
      <c r="J4" s="401" t="s">
        <v>294</v>
      </c>
    </row>
    <row r="5" spans="2:10" x14ac:dyDescent="0.3">
      <c r="B5" s="90">
        <v>320</v>
      </c>
      <c r="C5" s="91" t="s">
        <v>17</v>
      </c>
      <c r="D5" s="1">
        <v>40555</v>
      </c>
      <c r="E5" s="1">
        <v>0</v>
      </c>
      <c r="F5" s="1">
        <v>0</v>
      </c>
      <c r="G5" s="1">
        <f>'301 Fairground &amp; Cemetery'!G28</f>
        <v>6770</v>
      </c>
      <c r="H5" s="1">
        <v>0</v>
      </c>
      <c r="I5" s="1">
        <f>D5+E5+F5-G5+H5</f>
        <v>33785</v>
      </c>
      <c r="J5" s="402" t="s">
        <v>238</v>
      </c>
    </row>
    <row r="6" spans="2:10" ht="28.2" x14ac:dyDescent="0.3">
      <c r="B6" s="90">
        <v>323</v>
      </c>
      <c r="C6" s="91" t="s">
        <v>216</v>
      </c>
      <c r="D6" s="1">
        <v>36207</v>
      </c>
      <c r="E6" s="1">
        <v>0</v>
      </c>
      <c r="F6" s="1">
        <v>0</v>
      </c>
      <c r="G6" s="1">
        <f>'805 Community Projects'!G13</f>
        <v>4123</v>
      </c>
      <c r="H6" s="1">
        <v>106369.65</v>
      </c>
      <c r="I6" s="1">
        <f>D6+E6+F6-G6+H6</f>
        <v>138453.65</v>
      </c>
      <c r="J6" s="402" t="s">
        <v>293</v>
      </c>
    </row>
    <row r="7" spans="2:10" x14ac:dyDescent="0.3">
      <c r="B7" s="90">
        <v>351</v>
      </c>
      <c r="C7" s="91" t="s">
        <v>18</v>
      </c>
      <c r="D7" s="1">
        <v>1000</v>
      </c>
      <c r="E7" s="1">
        <v>0</v>
      </c>
      <c r="F7" s="1">
        <v>0</v>
      </c>
      <c r="G7" s="1">
        <f>'301 Fairground &amp; Cemetery'!G30+'301 Fairground &amp; Cemetery'!G32</f>
        <v>0</v>
      </c>
      <c r="H7" s="1">
        <v>0</v>
      </c>
      <c r="I7" s="1">
        <f t="shared" ref="I7" si="0">D7+E7+F7-G7</f>
        <v>1000</v>
      </c>
      <c r="J7" s="402" t="s">
        <v>137</v>
      </c>
    </row>
    <row r="8" spans="2:10" x14ac:dyDescent="0.3">
      <c r="B8" s="90">
        <v>353</v>
      </c>
      <c r="C8" s="91" t="s">
        <v>19</v>
      </c>
      <c r="D8" s="1">
        <v>5074</v>
      </c>
      <c r="E8" s="1">
        <v>0</v>
      </c>
      <c r="F8" s="1">
        <v>0</v>
      </c>
      <c r="G8" s="1">
        <f>'101 Admin'!G33</f>
        <v>0</v>
      </c>
      <c r="H8" s="1">
        <v>0</v>
      </c>
      <c r="I8" s="1">
        <f>D8+E8+F8-G8</f>
        <v>5074</v>
      </c>
      <c r="J8" s="402" t="s">
        <v>235</v>
      </c>
    </row>
    <row r="9" spans="2:10" ht="28.2" x14ac:dyDescent="0.3">
      <c r="B9" s="90">
        <v>326</v>
      </c>
      <c r="C9" s="91" t="s">
        <v>20</v>
      </c>
      <c r="D9" s="1">
        <v>46666</v>
      </c>
      <c r="E9" s="1">
        <v>0</v>
      </c>
      <c r="F9" s="1">
        <v>1000</v>
      </c>
      <c r="G9" s="1">
        <f>'301 Fairground &amp; Cemetery'!G34</f>
        <v>0</v>
      </c>
      <c r="H9" s="1">
        <v>0</v>
      </c>
      <c r="I9" s="1">
        <f>D9+E9+F9-G9+H9</f>
        <v>47666</v>
      </c>
      <c r="J9" s="402" t="s">
        <v>176</v>
      </c>
    </row>
    <row r="10" spans="2:10" ht="28.2" x14ac:dyDescent="0.3">
      <c r="B10" s="90">
        <v>329</v>
      </c>
      <c r="C10" s="91" t="s">
        <v>21</v>
      </c>
      <c r="D10" s="1">
        <v>7727</v>
      </c>
      <c r="E10" s="1">
        <v>0</v>
      </c>
      <c r="F10" s="1">
        <v>0</v>
      </c>
      <c r="G10" s="1">
        <f>'302 Roads, Footpaths, Commons'!G35</f>
        <v>7727</v>
      </c>
      <c r="H10" s="1">
        <v>0</v>
      </c>
      <c r="I10" s="1">
        <f t="shared" ref="I10:I16" si="1">D10+E10+F10-G10</f>
        <v>0</v>
      </c>
      <c r="J10" s="402" t="s">
        <v>252</v>
      </c>
    </row>
    <row r="11" spans="2:10" ht="28.2" x14ac:dyDescent="0.3">
      <c r="B11" s="90">
        <v>359</v>
      </c>
      <c r="C11" s="91" t="s">
        <v>251</v>
      </c>
      <c r="D11" s="1">
        <v>0</v>
      </c>
      <c r="E11" s="1"/>
      <c r="F11" s="1">
        <v>3000</v>
      </c>
      <c r="G11" s="1">
        <v>0</v>
      </c>
      <c r="H11" s="1">
        <v>0</v>
      </c>
      <c r="I11" s="1">
        <f t="shared" si="1"/>
        <v>3000</v>
      </c>
      <c r="J11" s="402" t="s">
        <v>255</v>
      </c>
    </row>
    <row r="12" spans="2:10" ht="19.8" customHeight="1" x14ac:dyDescent="0.3">
      <c r="B12" s="90">
        <v>354</v>
      </c>
      <c r="C12" s="91" t="s">
        <v>22</v>
      </c>
      <c r="D12" s="1">
        <v>24815</v>
      </c>
      <c r="E12" s="1">
        <v>0</v>
      </c>
      <c r="F12" s="1">
        <v>0</v>
      </c>
      <c r="G12" s="1">
        <f>'101 Admin'!G37</f>
        <v>2326.7800000000002</v>
      </c>
      <c r="H12" s="1">
        <v>0</v>
      </c>
      <c r="I12" s="1">
        <f t="shared" si="1"/>
        <v>22488.22</v>
      </c>
      <c r="J12" s="402" t="s">
        <v>234</v>
      </c>
    </row>
    <row r="13" spans="2:10" ht="28.2" x14ac:dyDescent="0.3">
      <c r="B13" s="90">
        <v>355</v>
      </c>
      <c r="C13" s="91" t="s">
        <v>65</v>
      </c>
      <c r="D13" s="1">
        <v>4400</v>
      </c>
      <c r="E13" s="1">
        <v>0</v>
      </c>
      <c r="F13" s="1">
        <v>0</v>
      </c>
      <c r="G13" s="1">
        <f>'101 Admin'!G39</f>
        <v>0</v>
      </c>
      <c r="H13" s="1">
        <v>0</v>
      </c>
      <c r="I13" s="1">
        <f t="shared" si="1"/>
        <v>4400</v>
      </c>
      <c r="J13" s="402" t="s">
        <v>178</v>
      </c>
    </row>
    <row r="14" spans="2:10" ht="28.2" x14ac:dyDescent="0.3">
      <c r="B14" s="90">
        <v>356</v>
      </c>
      <c r="C14" s="91" t="s">
        <v>95</v>
      </c>
      <c r="D14" s="1">
        <v>8357</v>
      </c>
      <c r="E14" s="1">
        <v>0</v>
      </c>
      <c r="F14" s="1">
        <v>0</v>
      </c>
      <c r="G14" s="1">
        <f>'805 Community Projects'!G11</f>
        <v>0</v>
      </c>
      <c r="H14" s="1">
        <v>0</v>
      </c>
      <c r="I14" s="1">
        <f t="shared" si="1"/>
        <v>8357</v>
      </c>
      <c r="J14" s="402" t="s">
        <v>254</v>
      </c>
    </row>
    <row r="15" spans="2:10" ht="28.2" x14ac:dyDescent="0.3">
      <c r="B15" s="90">
        <v>357</v>
      </c>
      <c r="C15" s="91" t="s">
        <v>97</v>
      </c>
      <c r="D15" s="1">
        <v>10000</v>
      </c>
      <c r="E15" s="1">
        <v>0</v>
      </c>
      <c r="F15" s="1">
        <v>10000</v>
      </c>
      <c r="G15" s="1">
        <f>'101 Admin'!G35</f>
        <v>10000</v>
      </c>
      <c r="H15" s="1">
        <v>0</v>
      </c>
      <c r="I15" s="1">
        <f t="shared" si="1"/>
        <v>10000</v>
      </c>
      <c r="J15" s="402" t="s">
        <v>253</v>
      </c>
    </row>
    <row r="16" spans="2:10" x14ac:dyDescent="0.3">
      <c r="B16" s="90">
        <v>358</v>
      </c>
      <c r="C16" s="91" t="s">
        <v>135</v>
      </c>
      <c r="D16" s="1">
        <v>3477</v>
      </c>
      <c r="E16" s="1">
        <f>'100 Income'!G32</f>
        <v>0</v>
      </c>
      <c r="F16" s="1">
        <v>0</v>
      </c>
      <c r="G16" s="1">
        <f>'101 Admin'!G41</f>
        <v>3477</v>
      </c>
      <c r="H16" s="1">
        <v>0</v>
      </c>
      <c r="I16" s="1">
        <f t="shared" si="1"/>
        <v>0</v>
      </c>
      <c r="J16" s="402" t="s">
        <v>208</v>
      </c>
    </row>
    <row r="17" spans="2:10" ht="16.2" thickBot="1" x14ac:dyDescent="0.35">
      <c r="B17" s="75"/>
      <c r="C17" s="72" t="s">
        <v>23</v>
      </c>
      <c r="D17" s="85"/>
      <c r="E17" s="85">
        <f>SUM(E4:E16)</f>
        <v>0</v>
      </c>
      <c r="F17" s="85">
        <f>SUM(F4:F16)</f>
        <v>14000</v>
      </c>
      <c r="G17" s="85">
        <f>SUM(G4:G16)</f>
        <v>34423.78</v>
      </c>
      <c r="H17" s="85">
        <f>SUM(H4:H16)</f>
        <v>106369.65</v>
      </c>
      <c r="I17" s="142"/>
      <c r="J17" s="403"/>
    </row>
    <row r="18" spans="2:10" ht="31.2" customHeight="1" thickBot="1" x14ac:dyDescent="0.35">
      <c r="B18" s="75"/>
      <c r="C18" s="72" t="s">
        <v>24</v>
      </c>
      <c r="D18" s="85">
        <f>SUM(D4:D16)</f>
        <v>300655</v>
      </c>
      <c r="E18" s="142"/>
      <c r="F18" s="142"/>
      <c r="G18" s="142"/>
      <c r="H18" s="142"/>
      <c r="I18" s="85">
        <f>SUM(I4:I17)</f>
        <v>408938.51</v>
      </c>
      <c r="J18" s="403"/>
    </row>
    <row r="19" spans="2:10" ht="28.2" customHeight="1" thickBot="1" x14ac:dyDescent="0.35">
      <c r="B19"/>
      <c r="D19" s="161"/>
      <c r="E19" s="143"/>
      <c r="F19" s="143"/>
      <c r="G19" s="143"/>
      <c r="H19" s="143"/>
      <c r="I19" s="143"/>
      <c r="J19" s="404"/>
    </row>
    <row r="20" spans="2:10" ht="66.599999999999994" customHeight="1" thickBot="1" x14ac:dyDescent="0.35">
      <c r="B20" s="457" t="s">
        <v>25</v>
      </c>
      <c r="C20" s="458"/>
      <c r="D20" s="459">
        <v>45017</v>
      </c>
      <c r="E20" s="459" t="s">
        <v>212</v>
      </c>
      <c r="F20" s="459"/>
      <c r="G20" s="459" t="s">
        <v>153</v>
      </c>
      <c r="H20" s="460" t="s">
        <v>14</v>
      </c>
      <c r="I20" s="459">
        <v>45382</v>
      </c>
      <c r="J20" s="461"/>
    </row>
    <row r="21" spans="2:10" ht="19.2" customHeight="1" x14ac:dyDescent="0.3">
      <c r="B21" s="533">
        <v>325</v>
      </c>
      <c r="C21" s="534" t="s">
        <v>26</v>
      </c>
      <c r="D21" s="201">
        <v>0</v>
      </c>
      <c r="E21" s="201">
        <v>0</v>
      </c>
      <c r="F21" s="201">
        <v>0</v>
      </c>
      <c r="G21" s="201">
        <f>'101 Admin'!G43</f>
        <v>0</v>
      </c>
      <c r="H21" s="201">
        <v>0</v>
      </c>
      <c r="I21" s="201">
        <f t="shared" ref="I21" si="2">D21+E21-F21-G21</f>
        <v>0</v>
      </c>
      <c r="J21" s="535" t="s">
        <v>215</v>
      </c>
    </row>
    <row r="22" spans="2:10" x14ac:dyDescent="0.3">
      <c r="B22" s="463">
        <v>334</v>
      </c>
      <c r="C22" s="462" t="s">
        <v>27</v>
      </c>
      <c r="D22" s="1">
        <v>140406</v>
      </c>
      <c r="E22" s="1">
        <v>0</v>
      </c>
      <c r="F22" s="1">
        <v>0</v>
      </c>
      <c r="G22" s="1">
        <f>'101 Admin'!G45</f>
        <v>10727.330000000002</v>
      </c>
      <c r="H22" s="1">
        <v>-106369.65</v>
      </c>
      <c r="I22" s="1">
        <f>D22-G22+H22</f>
        <v>23309.020000000004</v>
      </c>
      <c r="J22" s="464"/>
    </row>
    <row r="23" spans="2:10" x14ac:dyDescent="0.3">
      <c r="B23" s="463">
        <v>335</v>
      </c>
      <c r="C23" s="462" t="s">
        <v>134</v>
      </c>
      <c r="D23" s="1">
        <v>17393</v>
      </c>
      <c r="E23" s="1">
        <v>0</v>
      </c>
      <c r="F23" s="1">
        <v>0</v>
      </c>
      <c r="G23" s="1">
        <v>0</v>
      </c>
      <c r="H23" s="1">
        <v>0</v>
      </c>
      <c r="I23" s="1">
        <f>D23-G23+H23</f>
        <v>17393</v>
      </c>
      <c r="J23" s="402"/>
    </row>
    <row r="24" spans="2:10" x14ac:dyDescent="0.3">
      <c r="B24" s="463">
        <v>336</v>
      </c>
      <c r="C24" s="462" t="s">
        <v>214</v>
      </c>
      <c r="D24" s="1">
        <v>0</v>
      </c>
      <c r="E24" s="1">
        <f>'Budget Summary'!G19</f>
        <v>81914.560000000012</v>
      </c>
      <c r="F24" s="1">
        <v>0</v>
      </c>
      <c r="G24" s="1">
        <v>0</v>
      </c>
      <c r="H24" s="1">
        <v>0</v>
      </c>
      <c r="I24" s="1">
        <f>E24-G24+H24</f>
        <v>81914.560000000012</v>
      </c>
      <c r="J24" s="402" t="s">
        <v>292</v>
      </c>
    </row>
    <row r="25" spans="2:10" x14ac:dyDescent="0.3">
      <c r="B25" s="463"/>
      <c r="C25" s="462"/>
      <c r="D25" s="1"/>
      <c r="E25" s="1"/>
      <c r="F25" s="1"/>
      <c r="G25" s="1"/>
      <c r="H25" s="1"/>
      <c r="I25" s="1"/>
      <c r="J25" s="402"/>
    </row>
    <row r="26" spans="2:10" ht="16.2" thickBot="1" x14ac:dyDescent="0.35">
      <c r="B26" s="463"/>
      <c r="C26" s="462"/>
      <c r="D26" s="1"/>
      <c r="E26" s="1"/>
      <c r="F26" s="1"/>
      <c r="G26" s="1"/>
      <c r="H26" s="1"/>
      <c r="I26" s="1"/>
      <c r="J26" s="465"/>
    </row>
    <row r="27" spans="2:10" ht="25.2" customHeight="1" x14ac:dyDescent="0.3">
      <c r="B27" s="466"/>
      <c r="C27" s="467" t="s">
        <v>23</v>
      </c>
      <c r="D27" s="468"/>
      <c r="E27" s="468">
        <f>SUM(E20:E26)</f>
        <v>81914.560000000012</v>
      </c>
      <c r="F27" s="468">
        <f>SUM(F20:F26)</f>
        <v>0</v>
      </c>
      <c r="G27" s="468">
        <f>SUM(G20:G26)</f>
        <v>10727.330000000002</v>
      </c>
      <c r="H27" s="468">
        <f>SUM(H20:H26)</f>
        <v>-106369.65</v>
      </c>
      <c r="I27" s="468"/>
      <c r="J27" s="469"/>
    </row>
    <row r="28" spans="2:10" ht="28.2" customHeight="1" x14ac:dyDescent="0.3">
      <c r="B28" s="470"/>
      <c r="C28" s="471" t="s">
        <v>28</v>
      </c>
      <c r="D28" s="120">
        <f>SUM(D21:D26)</f>
        <v>157799</v>
      </c>
      <c r="E28" s="120"/>
      <c r="F28" s="120"/>
      <c r="G28" s="120"/>
      <c r="H28" s="120"/>
      <c r="I28" s="120">
        <f>SUM(I21:I26)</f>
        <v>122616.58000000002</v>
      </c>
      <c r="J28" s="472"/>
    </row>
    <row r="29" spans="2:10" x14ac:dyDescent="0.3">
      <c r="B29" s="473"/>
      <c r="C29" s="161"/>
      <c r="D29" s="161"/>
      <c r="E29" s="161"/>
      <c r="F29" s="161"/>
      <c r="G29" s="161"/>
      <c r="H29" s="161"/>
      <c r="I29" s="161"/>
      <c r="J29" s="474"/>
    </row>
    <row r="30" spans="2:10" ht="15" customHeight="1" thickBot="1" x14ac:dyDescent="0.35">
      <c r="B30" s="473"/>
      <c r="C30" s="161"/>
      <c r="D30" s="161"/>
      <c r="E30" s="161"/>
      <c r="F30" s="161"/>
      <c r="G30" s="161"/>
      <c r="H30" s="161"/>
      <c r="I30" s="161"/>
      <c r="J30" s="161"/>
    </row>
    <row r="31" spans="2:10" ht="31.2" customHeight="1" thickBot="1" x14ac:dyDescent="0.35">
      <c r="B31" s="475"/>
      <c r="C31" s="476" t="s">
        <v>29</v>
      </c>
      <c r="D31" s="477">
        <f>D18+D28</f>
        <v>458454</v>
      </c>
      <c r="E31" s="477"/>
      <c r="F31" s="477"/>
      <c r="G31" s="477"/>
      <c r="H31" s="477"/>
      <c r="I31" s="477">
        <f>I18+I28</f>
        <v>531555.09000000008</v>
      </c>
      <c r="J31" s="478"/>
    </row>
    <row r="32" spans="2:10" ht="15" customHeight="1" x14ac:dyDescent="0.3"/>
    <row r="33" spans="3:9" ht="15" customHeight="1" x14ac:dyDescent="0.3">
      <c r="C33" s="543" t="s">
        <v>177</v>
      </c>
      <c r="D33" s="543"/>
      <c r="E33" s="543"/>
      <c r="F33" s="543"/>
      <c r="G33" s="543"/>
      <c r="H33" s="543"/>
      <c r="I33" s="543"/>
    </row>
    <row r="34" spans="3:9" ht="15" customHeight="1" x14ac:dyDescent="0.3">
      <c r="C34" s="144">
        <f>'Budget Summary'!H14</f>
        <v>186244.22500000001</v>
      </c>
      <c r="D34" s="542" t="s">
        <v>30</v>
      </c>
      <c r="E34" s="542"/>
      <c r="F34" s="542"/>
      <c r="G34" s="542"/>
      <c r="H34" s="542"/>
      <c r="I34" s="542"/>
    </row>
    <row r="35" spans="3:9" ht="15" customHeight="1" x14ac:dyDescent="0.3">
      <c r="C35" s="144">
        <f>C34/12</f>
        <v>15520.352083333333</v>
      </c>
      <c r="D35" s="542" t="s">
        <v>31</v>
      </c>
      <c r="E35" s="542"/>
      <c r="F35" s="542"/>
      <c r="G35" s="542"/>
      <c r="H35" s="542"/>
      <c r="I35" s="542"/>
    </row>
    <row r="36" spans="3:9" ht="15" customHeight="1" x14ac:dyDescent="0.3">
      <c r="C36" s="145">
        <f>I4</f>
        <v>134714.63999999998</v>
      </c>
      <c r="D36" s="542" t="s">
        <v>259</v>
      </c>
      <c r="E36" s="542"/>
      <c r="F36" s="542"/>
      <c r="G36" s="542"/>
      <c r="H36" s="542"/>
      <c r="I36" s="542"/>
    </row>
    <row r="37" spans="3:9" ht="15" customHeight="1" x14ac:dyDescent="0.3">
      <c r="C37" s="146">
        <f>C36/C35</f>
        <v>8.6798701006702341</v>
      </c>
      <c r="D37" s="542" t="s">
        <v>260</v>
      </c>
      <c r="E37" s="542"/>
      <c r="F37" s="542"/>
      <c r="G37" s="542"/>
      <c r="H37" s="542"/>
      <c r="I37" s="542"/>
    </row>
    <row r="38" spans="3:9" ht="15" customHeight="1" x14ac:dyDescent="0.3"/>
    <row r="39" spans="3:9" ht="15" customHeight="1" x14ac:dyDescent="0.3"/>
    <row r="40" spans="3:9" ht="15" customHeight="1" x14ac:dyDescent="0.3">
      <c r="D40" s="522">
        <f>I31-D31</f>
        <v>73101.090000000084</v>
      </c>
      <c r="E40" s="523" t="s">
        <v>284</v>
      </c>
    </row>
    <row r="41" spans="3:9" ht="15" customHeight="1" x14ac:dyDescent="0.3">
      <c r="D41" s="523">
        <f>'Budget Summary'!G16</f>
        <v>36337.639999999985</v>
      </c>
      <c r="E41" s="523"/>
    </row>
    <row r="42" spans="3:9" ht="15" customHeight="1" x14ac:dyDescent="0.3">
      <c r="D42" s="523">
        <f>'Budget Summary'!G34</f>
        <v>36763.450000000012</v>
      </c>
      <c r="E42" s="523"/>
    </row>
    <row r="43" spans="3:9" ht="15" customHeight="1" x14ac:dyDescent="0.3">
      <c r="D43" s="523"/>
      <c r="E43" s="523"/>
    </row>
    <row r="44" spans="3:9" ht="15" customHeight="1" x14ac:dyDescent="0.3">
      <c r="D44" s="523"/>
      <c r="E44" s="523"/>
    </row>
    <row r="45" spans="3:9" ht="15" customHeight="1" x14ac:dyDescent="0.3">
      <c r="D45" s="523">
        <f>D41+D42</f>
        <v>73101.09</v>
      </c>
      <c r="E45" s="523"/>
    </row>
    <row r="46" spans="3:9" ht="15" customHeight="1" x14ac:dyDescent="0.3"/>
    <row r="47" spans="3:9" ht="15" customHeight="1" x14ac:dyDescent="0.3"/>
  </sheetData>
  <mergeCells count="5">
    <mergeCell ref="D37:I37"/>
    <mergeCell ref="C33:I33"/>
    <mergeCell ref="D34:I34"/>
    <mergeCell ref="D35:I35"/>
    <mergeCell ref="D36:I36"/>
  </mergeCells>
  <phoneticPr fontId="10" type="noConversion"/>
  <pageMargins left="0.75000000000000011" right="0.75000000000000011" top="1" bottom="1" header="0.5" footer="0.5"/>
  <pageSetup paperSize="9" scale="63" orientation="landscape" r:id="rId1"/>
  <ignoredErrors>
    <ignoredError sqref="D2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43"/>
  <sheetViews>
    <sheetView topLeftCell="A32" workbookViewId="0">
      <selection activeCell="H31" sqref="H31"/>
    </sheetView>
  </sheetViews>
  <sheetFormatPr defaultColWidth="11.19921875" defaultRowHeight="15.6" x14ac:dyDescent="0.3"/>
  <cols>
    <col min="1" max="1" width="5.19921875" customWidth="1"/>
    <col min="2" max="2" width="10.69921875" customWidth="1"/>
    <col min="3" max="3" width="35" customWidth="1"/>
    <col min="4" max="11" width="13.5" customWidth="1"/>
    <col min="12" max="12" width="61.8984375" customWidth="1"/>
  </cols>
  <sheetData>
    <row r="1" spans="2:12" ht="16.2" thickBot="1" x14ac:dyDescent="0.35"/>
    <row r="2" spans="2:12" ht="21" x14ac:dyDescent="0.3">
      <c r="B2" s="287" t="s">
        <v>195</v>
      </c>
      <c r="C2" s="288"/>
      <c r="D2" s="288"/>
      <c r="E2" s="289"/>
      <c r="F2" s="289"/>
      <c r="G2" s="301"/>
      <c r="H2" s="301"/>
      <c r="I2" s="290"/>
      <c r="J2" s="290"/>
      <c r="K2" s="290"/>
      <c r="L2" s="291"/>
    </row>
    <row r="3" spans="2:12" ht="21" x14ac:dyDescent="0.3">
      <c r="B3" s="292" t="s">
        <v>32</v>
      </c>
      <c r="C3" s="293"/>
      <c r="D3" s="378"/>
      <c r="E3" s="294"/>
      <c r="F3" s="294"/>
      <c r="G3" s="302"/>
      <c r="H3" s="302"/>
      <c r="I3" s="295"/>
      <c r="J3" s="295"/>
      <c r="K3" s="295"/>
      <c r="L3" s="296"/>
    </row>
    <row r="4" spans="2:12" ht="63" thickBot="1" x14ac:dyDescent="0.35">
      <c r="B4" s="297" t="s">
        <v>33</v>
      </c>
      <c r="C4" s="298" t="s">
        <v>34</v>
      </c>
      <c r="D4" s="285" t="s">
        <v>196</v>
      </c>
      <c r="E4" s="285" t="s">
        <v>99</v>
      </c>
      <c r="F4" s="285" t="s">
        <v>269</v>
      </c>
      <c r="G4" s="303" t="s">
        <v>197</v>
      </c>
      <c r="H4" s="303" t="s">
        <v>198</v>
      </c>
      <c r="I4" s="286" t="s">
        <v>199</v>
      </c>
      <c r="J4" s="285" t="s">
        <v>200</v>
      </c>
      <c r="K4" s="285" t="s">
        <v>201</v>
      </c>
      <c r="L4" s="299" t="s">
        <v>237</v>
      </c>
    </row>
    <row r="5" spans="2:12" x14ac:dyDescent="0.3">
      <c r="B5" s="17">
        <v>1010</v>
      </c>
      <c r="C5" s="56" t="s">
        <v>35</v>
      </c>
      <c r="D5" s="177">
        <v>50</v>
      </c>
      <c r="E5" s="86">
        <v>0</v>
      </c>
      <c r="F5" s="86">
        <v>130</v>
      </c>
      <c r="G5" s="158">
        <v>460</v>
      </c>
      <c r="H5" s="154">
        <v>0</v>
      </c>
      <c r="I5" s="172" t="str">
        <f t="shared" ref="I5:I38" si="0">IFERROR(G5/E5,"n/a")</f>
        <v>n/a</v>
      </c>
      <c r="J5" s="172" t="str">
        <f t="shared" ref="J5:J38" si="1">IFERROR(H5/E5,"n/a")</f>
        <v>n/a</v>
      </c>
      <c r="K5" s="172">
        <f>IFERROR(H5/G5,"n/a")</f>
        <v>0</v>
      </c>
      <c r="L5" s="131"/>
    </row>
    <row r="6" spans="2:12" x14ac:dyDescent="0.3">
      <c r="B6" s="16"/>
      <c r="C6" s="53"/>
      <c r="D6" s="93"/>
      <c r="E6" s="162"/>
      <c r="F6" s="162"/>
      <c r="G6" s="163"/>
      <c r="H6" s="167"/>
      <c r="I6" s="173"/>
      <c r="J6" s="173"/>
      <c r="K6" s="173"/>
      <c r="L6" s="132"/>
    </row>
    <row r="7" spans="2:12" s="249" customFormat="1" x14ac:dyDescent="0.3">
      <c r="B7" s="419">
        <v>1015</v>
      </c>
      <c r="C7" s="416" t="s">
        <v>96</v>
      </c>
      <c r="D7" s="420">
        <v>26280</v>
      </c>
      <c r="E7" s="421">
        <v>0</v>
      </c>
      <c r="F7" s="421">
        <v>0</v>
      </c>
      <c r="G7" s="422">
        <v>0</v>
      </c>
      <c r="H7" s="421">
        <v>0</v>
      </c>
      <c r="I7" s="423" t="str">
        <f t="shared" si="0"/>
        <v>n/a</v>
      </c>
      <c r="J7" s="423" t="str">
        <f t="shared" si="1"/>
        <v>n/a</v>
      </c>
      <c r="K7" s="423" t="str">
        <f>IFERROR(H7/G7,"n/a")</f>
        <v>n/a</v>
      </c>
      <c r="L7" s="248"/>
    </row>
    <row r="8" spans="2:12" x14ac:dyDescent="0.3">
      <c r="B8" s="9"/>
      <c r="C8" s="53"/>
      <c r="D8" s="93"/>
      <c r="E8" s="92"/>
      <c r="F8" s="92"/>
      <c r="G8" s="159"/>
      <c r="H8" s="156"/>
      <c r="I8" s="171"/>
      <c r="J8" s="171"/>
      <c r="K8" s="171"/>
      <c r="L8" s="130"/>
    </row>
    <row r="9" spans="2:12" x14ac:dyDescent="0.3">
      <c r="B9" s="17">
        <v>1020</v>
      </c>
      <c r="C9" s="56" t="s">
        <v>36</v>
      </c>
      <c r="D9" s="177">
        <v>243</v>
      </c>
      <c r="E9" s="86">
        <v>243</v>
      </c>
      <c r="F9" s="86">
        <v>0</v>
      </c>
      <c r="G9" s="158">
        <v>243</v>
      </c>
      <c r="H9" s="154">
        <v>243</v>
      </c>
      <c r="I9" s="172">
        <f t="shared" si="0"/>
        <v>1</v>
      </c>
      <c r="J9" s="172">
        <f t="shared" si="1"/>
        <v>1</v>
      </c>
      <c r="K9" s="172">
        <f>IFERROR(H9/G9,"n/a")</f>
        <v>1</v>
      </c>
      <c r="L9" s="252" t="s">
        <v>166</v>
      </c>
    </row>
    <row r="10" spans="2:12" x14ac:dyDescent="0.3">
      <c r="B10" s="9"/>
      <c r="C10" s="53"/>
      <c r="D10" s="93"/>
      <c r="E10" s="92"/>
      <c r="F10" s="92"/>
      <c r="G10" s="159"/>
      <c r="H10" s="156"/>
      <c r="I10" s="171"/>
      <c r="J10" s="171"/>
      <c r="K10" s="171"/>
      <c r="L10" s="130"/>
    </row>
    <row r="11" spans="2:12" ht="27" x14ac:dyDescent="0.3">
      <c r="B11" s="17">
        <v>1076</v>
      </c>
      <c r="C11" s="56" t="s">
        <v>37</v>
      </c>
      <c r="D11" s="177">
        <v>149319</v>
      </c>
      <c r="E11" s="86">
        <v>149319</v>
      </c>
      <c r="F11" s="86">
        <v>74660</v>
      </c>
      <c r="G11" s="158">
        <v>149319</v>
      </c>
      <c r="H11" s="229">
        <v>149319</v>
      </c>
      <c r="I11" s="172">
        <f t="shared" si="0"/>
        <v>1</v>
      </c>
      <c r="J11" s="172">
        <f t="shared" si="1"/>
        <v>1</v>
      </c>
      <c r="K11" s="172">
        <f>IFERROR(H11/G11,"n/a")</f>
        <v>1</v>
      </c>
      <c r="L11" s="131" t="s">
        <v>256</v>
      </c>
    </row>
    <row r="12" spans="2:12" x14ac:dyDescent="0.3">
      <c r="B12" s="9"/>
      <c r="C12" s="53"/>
      <c r="D12" s="93">
        <v>0</v>
      </c>
      <c r="E12" s="92"/>
      <c r="F12" s="92"/>
      <c r="G12" s="159"/>
      <c r="H12" s="156"/>
      <c r="I12" s="171"/>
      <c r="J12" s="171"/>
      <c r="K12" s="171"/>
      <c r="L12" s="130"/>
    </row>
    <row r="13" spans="2:12" ht="40.200000000000003" x14ac:dyDescent="0.3">
      <c r="B13" s="17">
        <v>1090</v>
      </c>
      <c r="C13" s="56" t="s">
        <v>38</v>
      </c>
      <c r="D13" s="177">
        <v>9112</v>
      </c>
      <c r="E13" s="86">
        <v>4800</v>
      </c>
      <c r="F13" s="86">
        <v>10408</v>
      </c>
      <c r="G13" s="158">
        <v>20815.18</v>
      </c>
      <c r="H13" s="154">
        <v>18000</v>
      </c>
      <c r="I13" s="172">
        <f t="shared" si="0"/>
        <v>4.3364958333333332</v>
      </c>
      <c r="J13" s="172">
        <f t="shared" si="1"/>
        <v>3.75</v>
      </c>
      <c r="K13" s="172">
        <f>IFERROR(H13/G13,"n/a")</f>
        <v>0.86475351161988512</v>
      </c>
      <c r="L13" s="247" t="s">
        <v>243</v>
      </c>
    </row>
    <row r="14" spans="2:12" x14ac:dyDescent="0.3">
      <c r="B14" s="9"/>
      <c r="C14" s="53"/>
      <c r="D14" s="93"/>
      <c r="E14" s="92"/>
      <c r="F14" s="92"/>
      <c r="G14" s="159"/>
      <c r="H14" s="156"/>
      <c r="I14" s="171"/>
      <c r="J14" s="171"/>
      <c r="K14" s="171"/>
      <c r="L14" s="130"/>
    </row>
    <row r="15" spans="2:12" x14ac:dyDescent="0.3">
      <c r="B15" s="17">
        <v>1100</v>
      </c>
      <c r="C15" s="56" t="s">
        <v>39</v>
      </c>
      <c r="D15" s="177">
        <v>793</v>
      </c>
      <c r="E15" s="86">
        <v>5855</v>
      </c>
      <c r="F15" s="86">
        <v>0</v>
      </c>
      <c r="G15" s="158">
        <v>5855</v>
      </c>
      <c r="H15" s="154">
        <v>5400</v>
      </c>
      <c r="I15" s="172">
        <f t="shared" si="0"/>
        <v>1</v>
      </c>
      <c r="J15" s="172">
        <f t="shared" si="1"/>
        <v>0.92228864218616569</v>
      </c>
      <c r="K15" s="172">
        <f>IFERROR(H15/G15,"n/a")</f>
        <v>0.92228864218616569</v>
      </c>
      <c r="L15" s="247" t="s">
        <v>244</v>
      </c>
    </row>
    <row r="16" spans="2:12" x14ac:dyDescent="0.3">
      <c r="B16" s="9"/>
      <c r="C16" s="53"/>
      <c r="D16" s="18"/>
      <c r="E16" s="92"/>
      <c r="F16" s="92"/>
      <c r="G16" s="159"/>
      <c r="H16" s="156"/>
      <c r="I16" s="171"/>
      <c r="J16" s="171"/>
      <c r="K16" s="171"/>
      <c r="L16" s="130"/>
    </row>
    <row r="17" spans="2:12" x14ac:dyDescent="0.3">
      <c r="B17" s="16">
        <v>1200</v>
      </c>
      <c r="C17" s="54" t="s">
        <v>40</v>
      </c>
      <c r="D17" s="19">
        <v>3017</v>
      </c>
      <c r="E17" s="92">
        <v>4016</v>
      </c>
      <c r="F17" s="92">
        <v>3468</v>
      </c>
      <c r="G17" s="163">
        <v>6200</v>
      </c>
      <c r="H17" s="167">
        <v>4218</v>
      </c>
      <c r="I17" s="171">
        <f t="shared" si="0"/>
        <v>1.5438247011952191</v>
      </c>
      <c r="J17" s="171">
        <f t="shared" si="1"/>
        <v>1.0502988047808766</v>
      </c>
      <c r="K17" s="171">
        <f>IFERROR(H17/G17,"n/a")</f>
        <v>0.68032258064516127</v>
      </c>
      <c r="L17" s="133" t="s">
        <v>245</v>
      </c>
    </row>
    <row r="18" spans="2:12" x14ac:dyDescent="0.3">
      <c r="B18" s="16">
        <v>1201</v>
      </c>
      <c r="C18" s="54" t="s">
        <v>41</v>
      </c>
      <c r="D18" s="19">
        <v>3140</v>
      </c>
      <c r="E18" s="92">
        <v>2436</v>
      </c>
      <c r="F18" s="92">
        <v>1989</v>
      </c>
      <c r="G18" s="163">
        <v>3462</v>
      </c>
      <c r="H18" s="167">
        <v>2559.9</v>
      </c>
      <c r="I18" s="171">
        <f t="shared" si="0"/>
        <v>1.4211822660098523</v>
      </c>
      <c r="J18" s="171">
        <f t="shared" si="1"/>
        <v>1.0508620689655173</v>
      </c>
      <c r="K18" s="171">
        <f>IFERROR(H18/G18,"n/a")</f>
        <v>0.7394280762564992</v>
      </c>
      <c r="L18" s="133" t="s">
        <v>246</v>
      </c>
    </row>
    <row r="19" spans="2:12" ht="27" x14ac:dyDescent="0.3">
      <c r="B19" s="17">
        <v>1202</v>
      </c>
      <c r="C19" s="57" t="s">
        <v>42</v>
      </c>
      <c r="D19" s="35">
        <v>586</v>
      </c>
      <c r="E19" s="92">
        <v>1634</v>
      </c>
      <c r="F19" s="92">
        <v>399</v>
      </c>
      <c r="G19" s="158">
        <v>1688.5</v>
      </c>
      <c r="H19" s="154">
        <v>1716</v>
      </c>
      <c r="I19" s="174">
        <f t="shared" si="0"/>
        <v>1.0333537331701346</v>
      </c>
      <c r="J19" s="174">
        <f t="shared" si="1"/>
        <v>1.0501835985312118</v>
      </c>
      <c r="K19" s="171">
        <f>IFERROR(H19/G19,"n/a")</f>
        <v>1.0162866449511401</v>
      </c>
      <c r="L19" s="250" t="s">
        <v>247</v>
      </c>
    </row>
    <row r="20" spans="2:12" x14ac:dyDescent="0.3">
      <c r="B20" s="79"/>
      <c r="C20" s="99" t="s">
        <v>43</v>
      </c>
      <c r="D20" s="100">
        <f>SUM(D17:D19)</f>
        <v>6743</v>
      </c>
      <c r="E20" s="100">
        <f>SUM(E17:E19)</f>
        <v>8086</v>
      </c>
      <c r="F20" s="100">
        <f>SUM(F17:F19)</f>
        <v>5856</v>
      </c>
      <c r="G20" s="164">
        <f>SUM(G17:G19)</f>
        <v>11350.5</v>
      </c>
      <c r="H20" s="168">
        <f>SUM(H17:H19)</f>
        <v>8493.9</v>
      </c>
      <c r="I20" s="175">
        <f t="shared" si="0"/>
        <v>1.4037224833044768</v>
      </c>
      <c r="J20" s="175">
        <f t="shared" si="1"/>
        <v>1.0504452139500371</v>
      </c>
      <c r="K20" s="175">
        <f>IFERROR(H20/G20,"n/a")</f>
        <v>0.7483282674772036</v>
      </c>
      <c r="L20" s="147"/>
    </row>
    <row r="21" spans="2:12" x14ac:dyDescent="0.3">
      <c r="B21" s="16"/>
      <c r="C21" s="54"/>
      <c r="D21" s="19"/>
      <c r="E21" s="92"/>
      <c r="F21" s="92"/>
      <c r="G21" s="159"/>
      <c r="H21" s="156"/>
      <c r="I21" s="171"/>
      <c r="J21" s="171"/>
      <c r="K21" s="171"/>
      <c r="L21" s="130"/>
    </row>
    <row r="22" spans="2:12" ht="27" x14ac:dyDescent="0.3">
      <c r="B22" s="16">
        <v>1300</v>
      </c>
      <c r="C22" s="54" t="s">
        <v>44</v>
      </c>
      <c r="D22" s="19">
        <v>1726</v>
      </c>
      <c r="E22" s="92">
        <v>1209.5999999999999</v>
      </c>
      <c r="F22" s="92">
        <v>880</v>
      </c>
      <c r="G22" s="163">
        <v>1464.83</v>
      </c>
      <c r="H22" s="167">
        <v>1837.14</v>
      </c>
      <c r="I22" s="173">
        <f t="shared" si="0"/>
        <v>1.2110036375661375</v>
      </c>
      <c r="J22" s="173">
        <f t="shared" si="1"/>
        <v>1.5187996031746034</v>
      </c>
      <c r="K22" s="173">
        <f>IFERROR(H22/G22,"n/a")</f>
        <v>1.2541660124383036</v>
      </c>
      <c r="L22" s="251" t="s">
        <v>248</v>
      </c>
    </row>
    <row r="23" spans="2:12" x14ac:dyDescent="0.3">
      <c r="B23" s="16">
        <v>1301</v>
      </c>
      <c r="C23" s="54" t="s">
        <v>45</v>
      </c>
      <c r="D23" s="19">
        <v>11</v>
      </c>
      <c r="E23" s="92">
        <v>11</v>
      </c>
      <c r="F23" s="92">
        <v>0</v>
      </c>
      <c r="G23" s="163">
        <v>11</v>
      </c>
      <c r="H23" s="167">
        <v>11</v>
      </c>
      <c r="I23" s="171">
        <f t="shared" si="0"/>
        <v>1</v>
      </c>
      <c r="J23" s="171">
        <f t="shared" si="1"/>
        <v>1</v>
      </c>
      <c r="K23" s="171">
        <f>IFERROR(H23/G23,"n/a")</f>
        <v>1</v>
      </c>
      <c r="L23" s="133" t="s">
        <v>160</v>
      </c>
    </row>
    <row r="24" spans="2:12" x14ac:dyDescent="0.3">
      <c r="B24" s="16">
        <v>1305</v>
      </c>
      <c r="C24" s="54" t="s">
        <v>46</v>
      </c>
      <c r="D24" s="19">
        <v>2315</v>
      </c>
      <c r="E24" s="92">
        <v>2370</v>
      </c>
      <c r="F24" s="92">
        <v>1462</v>
      </c>
      <c r="G24" s="163">
        <v>2200</v>
      </c>
      <c r="H24" s="167">
        <v>2310</v>
      </c>
      <c r="I24" s="171">
        <f t="shared" ref="I24" si="2">IFERROR(G24/E24,"n/a")</f>
        <v>0.92827004219409281</v>
      </c>
      <c r="J24" s="171">
        <f t="shared" ref="J24" si="3">IFERROR(H24/E24,"n/a")</f>
        <v>0.97468354430379744</v>
      </c>
      <c r="K24" s="171">
        <f>IFERROR(H24/G24,"n/a")</f>
        <v>1.05</v>
      </c>
      <c r="L24" s="133" t="s">
        <v>249</v>
      </c>
    </row>
    <row r="25" spans="2:12" x14ac:dyDescent="0.3">
      <c r="B25" s="17">
        <v>1306</v>
      </c>
      <c r="C25" s="57" t="s">
        <v>100</v>
      </c>
      <c r="D25" s="35">
        <v>650</v>
      </c>
      <c r="E25" s="92">
        <v>675.15</v>
      </c>
      <c r="F25" s="92">
        <v>516</v>
      </c>
      <c r="G25" s="158">
        <v>600</v>
      </c>
      <c r="H25" s="154">
        <v>630</v>
      </c>
      <c r="I25" s="172">
        <f t="shared" si="0"/>
        <v>0.88869140191068652</v>
      </c>
      <c r="J25" s="172">
        <f t="shared" si="1"/>
        <v>0.93312597200622083</v>
      </c>
      <c r="K25" s="172">
        <f>IFERROR(H25/G25,"n/a")</f>
        <v>1.05</v>
      </c>
      <c r="L25" s="252" t="s">
        <v>250</v>
      </c>
    </row>
    <row r="26" spans="2:12" x14ac:dyDescent="0.3">
      <c r="B26" s="81"/>
      <c r="C26" s="101" t="s">
        <v>47</v>
      </c>
      <c r="D26" s="41">
        <f>SUM(D22:D25)</f>
        <v>4702</v>
      </c>
      <c r="E26" s="100">
        <f>SUM(E22:E25)</f>
        <v>4265.75</v>
      </c>
      <c r="F26" s="41">
        <f>SUM(F22:F25)</f>
        <v>2858</v>
      </c>
      <c r="G26" s="158">
        <f>SUM(G22:G25)</f>
        <v>4275.83</v>
      </c>
      <c r="H26" s="168">
        <f>SUM(H22:H25)</f>
        <v>4788.1400000000003</v>
      </c>
      <c r="I26" s="172"/>
      <c r="J26" s="172">
        <f t="shared" si="1"/>
        <v>1.1224614663306571</v>
      </c>
      <c r="K26" s="172">
        <f>IFERROR(H26/G26,"n/a")</f>
        <v>1.1198153340988768</v>
      </c>
      <c r="L26" s="148"/>
    </row>
    <row r="27" spans="2:12" x14ac:dyDescent="0.3">
      <c r="B27" s="42"/>
      <c r="C27" s="52"/>
      <c r="D27" s="1"/>
      <c r="E27" s="92"/>
      <c r="F27" s="92"/>
      <c r="G27" s="159"/>
      <c r="H27" s="156"/>
      <c r="I27" s="171"/>
      <c r="J27" s="171"/>
      <c r="K27" s="171"/>
      <c r="L27" s="130"/>
    </row>
    <row r="28" spans="2:12" ht="21" customHeight="1" x14ac:dyDescent="0.3">
      <c r="B28" s="23"/>
      <c r="C28" s="59" t="s">
        <v>48</v>
      </c>
      <c r="D28" s="4">
        <f>D5+D7+D9+D11+D13+D15+D20+D26</f>
        <v>197242</v>
      </c>
      <c r="E28" s="4">
        <f>+E5+E7+E9+E11+E13+E15+E20+E26</f>
        <v>172568.75</v>
      </c>
      <c r="F28" s="4">
        <f>+F5+F7+F9+F11+F13+F15+F20+F26</f>
        <v>93912</v>
      </c>
      <c r="G28" s="165">
        <f>+G5+G7+G9+G11+G13+G15+G20+G26</f>
        <v>192318.50999999998</v>
      </c>
      <c r="H28" s="169">
        <f>+H5+H7+H9+H11+H13+H15+H20+H26</f>
        <v>186244.04</v>
      </c>
      <c r="I28" s="176">
        <f t="shared" si="0"/>
        <v>1.1144457498822933</v>
      </c>
      <c r="J28" s="176">
        <f t="shared" si="1"/>
        <v>1.0792454601426968</v>
      </c>
      <c r="K28" s="176">
        <f>IFERROR(H28/G28,"n/a")</f>
        <v>0.9684145327457041</v>
      </c>
      <c r="L28" s="149"/>
    </row>
    <row r="29" spans="2:12" x14ac:dyDescent="0.3">
      <c r="B29" s="479"/>
      <c r="C29" s="196"/>
      <c r="D29" s="1"/>
      <c r="E29" s="1"/>
      <c r="F29" s="1"/>
      <c r="G29" s="1"/>
      <c r="H29" s="156"/>
      <c r="I29" s="171"/>
      <c r="J29" s="171"/>
      <c r="K29" s="171"/>
      <c r="L29" s="133"/>
    </row>
    <row r="30" spans="2:12" x14ac:dyDescent="0.3">
      <c r="B30" s="479">
        <v>1106</v>
      </c>
      <c r="C30" s="196" t="s">
        <v>124</v>
      </c>
      <c r="D30" s="1">
        <v>17393</v>
      </c>
      <c r="E30" s="1">
        <v>0</v>
      </c>
      <c r="F30" s="1">
        <v>54406</v>
      </c>
      <c r="G30" s="266">
        <f>CIL!D12</f>
        <v>81914.560000000012</v>
      </c>
      <c r="H30" s="156">
        <f>CIL!D21</f>
        <v>95519.650000000009</v>
      </c>
      <c r="I30" s="171" t="str">
        <f t="shared" ref="I30" si="4">IFERROR(G30/E30,"n/a")</f>
        <v>n/a</v>
      </c>
      <c r="J30" s="171" t="str">
        <f t="shared" ref="J30" si="5">IFERROR(H30/E30,"n/a")</f>
        <v>n/a</v>
      </c>
      <c r="K30" s="171">
        <f>IFERROR(H30/G30,"n/a")</f>
        <v>1.1660887881226487</v>
      </c>
      <c r="L30" s="133" t="s">
        <v>239</v>
      </c>
    </row>
    <row r="31" spans="2:12" x14ac:dyDescent="0.3">
      <c r="B31" s="479"/>
      <c r="C31" s="196"/>
      <c r="D31" s="1"/>
      <c r="E31" s="1"/>
      <c r="F31" s="1"/>
      <c r="G31" s="266"/>
      <c r="H31" s="156"/>
      <c r="I31" s="171"/>
      <c r="J31" s="171"/>
      <c r="K31" s="171"/>
      <c r="L31" s="133"/>
    </row>
    <row r="32" spans="2:12" x14ac:dyDescent="0.3">
      <c r="B32" s="479">
        <v>1107</v>
      </c>
      <c r="C32" s="196" t="s">
        <v>126</v>
      </c>
      <c r="D32" s="1">
        <v>3477</v>
      </c>
      <c r="E32" s="1">
        <v>0</v>
      </c>
      <c r="F32" s="1">
        <v>0</v>
      </c>
      <c r="G32" s="266">
        <v>0</v>
      </c>
      <c r="H32" s="156">
        <v>0</v>
      </c>
      <c r="I32" s="171" t="str">
        <f t="shared" ref="I32" si="6">IFERROR(G32/E32,"n/a")</f>
        <v>n/a</v>
      </c>
      <c r="J32" s="171" t="str">
        <f t="shared" ref="J32" si="7">IFERROR(H32/E32,"n/a")</f>
        <v>n/a</v>
      </c>
      <c r="K32" s="171" t="str">
        <f>IFERROR(H32/G32,"n/a")</f>
        <v>n/a</v>
      </c>
      <c r="L32" s="133"/>
    </row>
    <row r="33" spans="2:12" x14ac:dyDescent="0.3">
      <c r="B33" s="479"/>
      <c r="C33" s="196"/>
      <c r="D33" s="1"/>
      <c r="E33" s="1"/>
      <c r="F33" s="1"/>
      <c r="G33" s="266"/>
      <c r="H33" s="156"/>
      <c r="I33" s="171"/>
      <c r="J33" s="171"/>
      <c r="K33" s="171"/>
      <c r="L33" s="133"/>
    </row>
    <row r="34" spans="2:12" x14ac:dyDescent="0.3">
      <c r="B34" s="479"/>
      <c r="C34" s="196" t="s">
        <v>207</v>
      </c>
      <c r="D34" s="1">
        <v>4</v>
      </c>
      <c r="E34" s="1">
        <v>0</v>
      </c>
      <c r="F34" s="1">
        <v>0</v>
      </c>
      <c r="G34" s="266">
        <v>0</v>
      </c>
      <c r="H34" s="156">
        <v>0</v>
      </c>
      <c r="I34" s="171" t="str">
        <f t="shared" ref="I34" si="8">IFERROR(G34/E34,"n/a")</f>
        <v>n/a</v>
      </c>
      <c r="J34" s="171" t="str">
        <f t="shared" ref="J34" si="9">IFERROR(H34/E34,"n/a")</f>
        <v>n/a</v>
      </c>
      <c r="K34" s="171" t="str">
        <f>IFERROR(H34/G34,"n/a")</f>
        <v>n/a</v>
      </c>
      <c r="L34" s="133"/>
    </row>
    <row r="35" spans="2:12" x14ac:dyDescent="0.3">
      <c r="B35" s="479"/>
      <c r="C35" s="196"/>
      <c r="D35" s="1"/>
      <c r="E35" s="1"/>
      <c r="F35" s="1"/>
      <c r="G35" s="266"/>
      <c r="H35" s="156"/>
      <c r="I35" s="171"/>
      <c r="J35" s="171"/>
      <c r="K35" s="171"/>
      <c r="L35" s="133"/>
    </row>
    <row r="36" spans="2:12" ht="25.2" customHeight="1" x14ac:dyDescent="0.3">
      <c r="B36" s="480"/>
      <c r="C36" s="481" t="s">
        <v>116</v>
      </c>
      <c r="D36" s="70">
        <f>SUM(D29:D35)</f>
        <v>20874</v>
      </c>
      <c r="E36" s="482">
        <f t="shared" ref="E36:H36" si="10">SUM(E29:E35)</f>
        <v>0</v>
      </c>
      <c r="F36" s="482">
        <f t="shared" ref="F36" si="11">SUM(F29:F35)</f>
        <v>54406</v>
      </c>
      <c r="G36" s="488">
        <f t="shared" si="10"/>
        <v>81914.560000000012</v>
      </c>
      <c r="H36" s="490">
        <f t="shared" si="10"/>
        <v>95519.650000000009</v>
      </c>
      <c r="I36" s="484" t="str">
        <f t="shared" si="0"/>
        <v>n/a</v>
      </c>
      <c r="J36" s="484" t="str">
        <f t="shared" si="1"/>
        <v>n/a</v>
      </c>
      <c r="K36" s="484">
        <f>IFERROR(H36/G36,"n/a")</f>
        <v>1.1660887881226487</v>
      </c>
      <c r="L36" s="485"/>
    </row>
    <row r="37" spans="2:12" x14ac:dyDescent="0.3">
      <c r="B37" s="479"/>
      <c r="C37" s="196"/>
      <c r="D37" s="1"/>
      <c r="E37" s="1"/>
      <c r="F37" s="1"/>
      <c r="G37" s="266"/>
      <c r="H37" s="156"/>
      <c r="I37" s="171"/>
      <c r="J37" s="171"/>
      <c r="K37" s="171"/>
      <c r="L37" s="133"/>
    </row>
    <row r="38" spans="2:12" ht="25.2" customHeight="1" thickBot="1" x14ac:dyDescent="0.35">
      <c r="B38" s="486"/>
      <c r="C38" s="60" t="s">
        <v>49</v>
      </c>
      <c r="D38" s="21">
        <f>+D28+D36</f>
        <v>218116</v>
      </c>
      <c r="E38" s="21">
        <f>+E28+E36</f>
        <v>172568.75</v>
      </c>
      <c r="F38" s="21">
        <f>+F28+F36</f>
        <v>148318</v>
      </c>
      <c r="G38" s="489">
        <f>+G28+G36</f>
        <v>274233.07</v>
      </c>
      <c r="H38" s="170">
        <f>+H28+H36</f>
        <v>281763.69</v>
      </c>
      <c r="I38" s="28">
        <f t="shared" si="0"/>
        <v>1.5891235811814133</v>
      </c>
      <c r="J38" s="28">
        <f t="shared" si="1"/>
        <v>1.6327619571909746</v>
      </c>
      <c r="K38" s="28">
        <f>IFERROR(H38/G38,"n/a")</f>
        <v>1.0274606560033039</v>
      </c>
      <c r="L38" s="487"/>
    </row>
    <row r="42" spans="2:12" ht="16.2" thickBot="1" x14ac:dyDescent="0.35"/>
    <row r="43" spans="2:12" ht="16.2" thickBot="1" x14ac:dyDescent="0.35">
      <c r="G43" s="94" t="s">
        <v>50</v>
      </c>
      <c r="H43" s="95">
        <f>SUM(H5:H37)-H17-H18-H19-H22-H23-H24-H25-H28-H38</f>
        <v>95519.649999999965</v>
      </c>
    </row>
  </sheetData>
  <phoneticPr fontId="10" type="noConversion"/>
  <pageMargins left="0.75000000000000011" right="0.75000000000000011" top="1" bottom="1" header="0.5" footer="0.5"/>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50"/>
  <sheetViews>
    <sheetView topLeftCell="A41" workbookViewId="0">
      <selection activeCell="H28" sqref="H28"/>
    </sheetView>
  </sheetViews>
  <sheetFormatPr defaultColWidth="11.19921875" defaultRowHeight="15.6" x14ac:dyDescent="0.3"/>
  <cols>
    <col min="1" max="1" width="4.19921875" customWidth="1"/>
    <col min="2" max="2" width="10.69921875" customWidth="1"/>
    <col min="3" max="3" width="35" customWidth="1"/>
    <col min="4" max="9" width="13.5" customWidth="1"/>
    <col min="10" max="11" width="13.5" style="73" customWidth="1"/>
    <col min="12" max="12" width="61.5" customWidth="1"/>
  </cols>
  <sheetData>
    <row r="1" spans="2:12" ht="16.2" thickBot="1" x14ac:dyDescent="0.35"/>
    <row r="2" spans="2:12" ht="21" x14ac:dyDescent="0.3">
      <c r="B2" s="287" t="s">
        <v>195</v>
      </c>
      <c r="C2" s="288"/>
      <c r="D2" s="288"/>
      <c r="E2" s="289"/>
      <c r="F2" s="289"/>
      <c r="G2" s="301"/>
      <c r="H2" s="301"/>
      <c r="I2" s="290"/>
      <c r="J2" s="290"/>
      <c r="K2" s="290"/>
      <c r="L2" s="291"/>
    </row>
    <row r="3" spans="2:12" ht="21" x14ac:dyDescent="0.3">
      <c r="B3" s="292" t="s">
        <v>206</v>
      </c>
      <c r="C3" s="293"/>
      <c r="D3" s="293"/>
      <c r="E3" s="294"/>
      <c r="F3" s="294"/>
      <c r="G3" s="302"/>
      <c r="H3" s="302"/>
      <c r="I3" s="295"/>
      <c r="J3" s="295"/>
      <c r="K3" s="295"/>
      <c r="L3" s="296"/>
    </row>
    <row r="4" spans="2:12" ht="63" thickBot="1" x14ac:dyDescent="0.35">
      <c r="B4" s="297" t="s">
        <v>33</v>
      </c>
      <c r="C4" s="298" t="s">
        <v>34</v>
      </c>
      <c r="D4" s="285" t="s">
        <v>196</v>
      </c>
      <c r="E4" s="285" t="s">
        <v>99</v>
      </c>
      <c r="F4" s="285" t="s">
        <v>269</v>
      </c>
      <c r="G4" s="303" t="s">
        <v>197</v>
      </c>
      <c r="H4" s="303" t="s">
        <v>198</v>
      </c>
      <c r="I4" s="286" t="s">
        <v>199</v>
      </c>
      <c r="J4" s="285" t="s">
        <v>200</v>
      </c>
      <c r="K4" s="285" t="s">
        <v>201</v>
      </c>
      <c r="L4" s="299" t="s">
        <v>237</v>
      </c>
    </row>
    <row r="5" spans="2:12" x14ac:dyDescent="0.3">
      <c r="B5" s="22"/>
      <c r="C5" s="61"/>
      <c r="D5" s="31"/>
      <c r="E5" s="32"/>
      <c r="F5" s="32"/>
      <c r="G5" s="32"/>
      <c r="H5" s="33"/>
      <c r="I5" s="33"/>
      <c r="J5" s="33"/>
      <c r="K5" s="33"/>
      <c r="L5" s="63"/>
    </row>
    <row r="6" spans="2:12" x14ac:dyDescent="0.3">
      <c r="B6" s="16">
        <v>4000</v>
      </c>
      <c r="C6" s="53" t="s">
        <v>51</v>
      </c>
      <c r="D6" s="18">
        <v>71130</v>
      </c>
      <c r="E6" s="1">
        <v>80630</v>
      </c>
      <c r="F6" s="1">
        <v>36036</v>
      </c>
      <c r="G6" s="266">
        <v>75810</v>
      </c>
      <c r="H6" s="122">
        <v>79600.800000000003</v>
      </c>
      <c r="I6" s="112">
        <f t="shared" ref="I6:I23" si="0">IFERROR(G6/E6,"n/a")</f>
        <v>0.94022076150316258</v>
      </c>
      <c r="J6" s="112">
        <f t="shared" ref="J6:J23" si="1">IFERROR(H6/E6,"n/a")</f>
        <v>0.98723552027781225</v>
      </c>
      <c r="K6" s="112">
        <f>IFERROR(H6/G6,"n/a")</f>
        <v>1.0500039572615751</v>
      </c>
      <c r="L6" s="250" t="s">
        <v>228</v>
      </c>
    </row>
    <row r="7" spans="2:12" ht="27" x14ac:dyDescent="0.3">
      <c r="B7" s="16">
        <v>4004</v>
      </c>
      <c r="C7" s="53" t="s">
        <v>101</v>
      </c>
      <c r="D7" s="18">
        <v>180</v>
      </c>
      <c r="E7" s="1">
        <v>180</v>
      </c>
      <c r="F7" s="1">
        <v>75</v>
      </c>
      <c r="G7" s="266">
        <v>192</v>
      </c>
      <c r="H7" s="122">
        <v>264</v>
      </c>
      <c r="I7" s="112">
        <f t="shared" si="0"/>
        <v>1.0666666666666667</v>
      </c>
      <c r="J7" s="112">
        <f t="shared" si="1"/>
        <v>1.4666666666666666</v>
      </c>
      <c r="K7" s="112">
        <f>IFERROR(H7/G7,"n/a")</f>
        <v>1.375</v>
      </c>
      <c r="L7" s="250" t="s">
        <v>226</v>
      </c>
    </row>
    <row r="8" spans="2:12" x14ac:dyDescent="0.3">
      <c r="B8" s="16">
        <v>4010</v>
      </c>
      <c r="C8" s="53" t="s">
        <v>52</v>
      </c>
      <c r="D8" s="18">
        <v>265</v>
      </c>
      <c r="E8" s="92">
        <v>1000</v>
      </c>
      <c r="F8" s="92">
        <v>30</v>
      </c>
      <c r="G8" s="266">
        <v>300</v>
      </c>
      <c r="H8" s="122">
        <v>1000</v>
      </c>
      <c r="I8" s="112">
        <f t="shared" si="0"/>
        <v>0.3</v>
      </c>
      <c r="J8" s="112">
        <f t="shared" si="1"/>
        <v>1</v>
      </c>
      <c r="K8" s="112">
        <f t="shared" ref="K8:K25" si="2">IFERROR(H8/G8,"n/a")</f>
        <v>3.3333333333333335</v>
      </c>
      <c r="L8" s="250" t="s">
        <v>161</v>
      </c>
    </row>
    <row r="9" spans="2:12" x14ac:dyDescent="0.3">
      <c r="B9" s="16">
        <v>4020</v>
      </c>
      <c r="C9" s="53" t="s">
        <v>53</v>
      </c>
      <c r="D9" s="18">
        <v>175</v>
      </c>
      <c r="E9" s="92">
        <v>500</v>
      </c>
      <c r="F9" s="92">
        <v>0</v>
      </c>
      <c r="G9" s="266">
        <v>200</v>
      </c>
      <c r="H9" s="122">
        <v>500</v>
      </c>
      <c r="I9" s="112">
        <f t="shared" si="0"/>
        <v>0.4</v>
      </c>
      <c r="J9" s="112">
        <f t="shared" si="1"/>
        <v>1</v>
      </c>
      <c r="K9" s="112">
        <f t="shared" si="2"/>
        <v>2.5</v>
      </c>
      <c r="L9" s="133" t="s">
        <v>227</v>
      </c>
    </row>
    <row r="10" spans="2:12" s="204" customFormat="1" x14ac:dyDescent="0.3">
      <c r="B10" s="203">
        <v>4030</v>
      </c>
      <c r="C10" s="198" t="s">
        <v>54</v>
      </c>
      <c r="D10" s="199">
        <v>0</v>
      </c>
      <c r="E10" s="92">
        <v>0</v>
      </c>
      <c r="F10" s="92">
        <v>0</v>
      </c>
      <c r="G10" s="266">
        <v>0</v>
      </c>
      <c r="H10" s="122">
        <v>0</v>
      </c>
      <c r="I10" s="202" t="str">
        <f t="shared" si="0"/>
        <v>n/a</v>
      </c>
      <c r="J10" s="202" t="str">
        <f t="shared" si="1"/>
        <v>n/a</v>
      </c>
      <c r="K10" s="202" t="str">
        <f t="shared" si="2"/>
        <v>n/a</v>
      </c>
      <c r="L10" s="399" t="s">
        <v>241</v>
      </c>
    </row>
    <row r="11" spans="2:12" x14ac:dyDescent="0.3">
      <c r="B11" s="16">
        <v>4050</v>
      </c>
      <c r="C11" s="53" t="s">
        <v>55</v>
      </c>
      <c r="D11" s="18">
        <v>1300</v>
      </c>
      <c r="E11" s="92">
        <v>1365</v>
      </c>
      <c r="F11" s="92">
        <v>880</v>
      </c>
      <c r="G11" s="266">
        <v>1130</v>
      </c>
      <c r="H11" s="122">
        <v>1186.5</v>
      </c>
      <c r="I11" s="112">
        <f t="shared" si="0"/>
        <v>0.82783882783882778</v>
      </c>
      <c r="J11" s="112">
        <f t="shared" si="1"/>
        <v>0.86923076923076925</v>
      </c>
      <c r="K11" s="112">
        <f t="shared" si="2"/>
        <v>1.05</v>
      </c>
      <c r="L11" s="250" t="s">
        <v>229</v>
      </c>
    </row>
    <row r="12" spans="2:12" ht="27" x14ac:dyDescent="0.3">
      <c r="B12" s="16">
        <v>4051</v>
      </c>
      <c r="C12" s="53" t="s">
        <v>56</v>
      </c>
      <c r="D12" s="18">
        <v>4481</v>
      </c>
      <c r="E12" s="92">
        <v>5500</v>
      </c>
      <c r="F12" s="92">
        <v>2529</v>
      </c>
      <c r="G12" s="266">
        <v>4300</v>
      </c>
      <c r="H12" s="122">
        <v>4515</v>
      </c>
      <c r="I12" s="112">
        <f t="shared" si="0"/>
        <v>0.78181818181818186</v>
      </c>
      <c r="J12" s="112">
        <f t="shared" si="1"/>
        <v>0.82090909090909092</v>
      </c>
      <c r="K12" s="112">
        <f t="shared" si="2"/>
        <v>1.05</v>
      </c>
      <c r="L12" s="250" t="s">
        <v>230</v>
      </c>
    </row>
    <row r="13" spans="2:12" ht="40.200000000000003" x14ac:dyDescent="0.3">
      <c r="B13" s="16">
        <v>4052</v>
      </c>
      <c r="C13" s="53" t="s">
        <v>57</v>
      </c>
      <c r="D13" s="18">
        <v>927</v>
      </c>
      <c r="E13" s="92">
        <v>1060.5</v>
      </c>
      <c r="F13" s="92">
        <v>1149</v>
      </c>
      <c r="G13" s="266">
        <v>1148.5999999999999</v>
      </c>
      <c r="H13" s="122">
        <v>1229</v>
      </c>
      <c r="I13" s="112">
        <f t="shared" si="0"/>
        <v>1.0830740216878829</v>
      </c>
      <c r="J13" s="112">
        <f t="shared" si="1"/>
        <v>1.1588873173031589</v>
      </c>
      <c r="K13" s="112">
        <f t="shared" si="2"/>
        <v>1.0699982587497825</v>
      </c>
      <c r="L13" s="250" t="s">
        <v>272</v>
      </c>
    </row>
    <row r="14" spans="2:12" ht="27" x14ac:dyDescent="0.3">
      <c r="B14" s="16">
        <v>4053</v>
      </c>
      <c r="C14" s="53" t="s">
        <v>58</v>
      </c>
      <c r="D14" s="18">
        <v>1299</v>
      </c>
      <c r="E14" s="92">
        <v>1363.95</v>
      </c>
      <c r="F14" s="92">
        <v>1670</v>
      </c>
      <c r="G14" s="266">
        <v>1670</v>
      </c>
      <c r="H14" s="122">
        <v>1754</v>
      </c>
      <c r="I14" s="112">
        <f t="shared" si="0"/>
        <v>1.2243850581033029</v>
      </c>
      <c r="J14" s="112">
        <f t="shared" si="1"/>
        <v>1.2859708933611935</v>
      </c>
      <c r="K14" s="112">
        <f t="shared" si="2"/>
        <v>1.0502994011976048</v>
      </c>
      <c r="L14" s="250" t="s">
        <v>273</v>
      </c>
    </row>
    <row r="15" spans="2:12" ht="27" x14ac:dyDescent="0.3">
      <c r="B15" s="16">
        <v>4054</v>
      </c>
      <c r="C15" s="53" t="s">
        <v>59</v>
      </c>
      <c r="D15" s="18">
        <v>1190</v>
      </c>
      <c r="E15" s="92">
        <v>1548.75</v>
      </c>
      <c r="F15" s="92">
        <v>24</v>
      </c>
      <c r="G15" s="266">
        <v>1521</v>
      </c>
      <c r="H15" s="122">
        <v>1597</v>
      </c>
      <c r="I15" s="112">
        <f t="shared" si="0"/>
        <v>0.98208232445520582</v>
      </c>
      <c r="J15" s="112">
        <f t="shared" si="1"/>
        <v>1.0311541565778855</v>
      </c>
      <c r="K15" s="112">
        <f t="shared" si="2"/>
        <v>1.0499671268902038</v>
      </c>
      <c r="L15" s="250" t="s">
        <v>274</v>
      </c>
    </row>
    <row r="16" spans="2:12" ht="27" x14ac:dyDescent="0.3">
      <c r="B16" s="16">
        <v>4055</v>
      </c>
      <c r="C16" s="53" t="s">
        <v>60</v>
      </c>
      <c r="D16" s="18">
        <v>4328</v>
      </c>
      <c r="E16" s="92">
        <v>4520</v>
      </c>
      <c r="F16" s="92">
        <v>2408</v>
      </c>
      <c r="G16" s="266">
        <v>4720</v>
      </c>
      <c r="H16" s="122">
        <v>5050.3999999999996</v>
      </c>
      <c r="I16" s="112">
        <f t="shared" si="0"/>
        <v>1.0442477876106195</v>
      </c>
      <c r="J16" s="112">
        <f t="shared" si="1"/>
        <v>1.1173451327433628</v>
      </c>
      <c r="K16" s="112">
        <f t="shared" si="2"/>
        <v>1.0699999999999998</v>
      </c>
      <c r="L16" s="250" t="s">
        <v>275</v>
      </c>
    </row>
    <row r="17" spans="2:12" ht="27" x14ac:dyDescent="0.3">
      <c r="B17" s="16">
        <v>4057</v>
      </c>
      <c r="C17" s="53" t="s">
        <v>61</v>
      </c>
      <c r="D17" s="18">
        <v>224</v>
      </c>
      <c r="E17" s="92">
        <v>272</v>
      </c>
      <c r="F17" s="92">
        <v>87</v>
      </c>
      <c r="G17" s="266">
        <v>230</v>
      </c>
      <c r="H17" s="122">
        <v>252</v>
      </c>
      <c r="I17" s="112">
        <f t="shared" si="0"/>
        <v>0.84558823529411764</v>
      </c>
      <c r="J17" s="112">
        <f t="shared" si="1"/>
        <v>0.92647058823529416</v>
      </c>
      <c r="K17" s="112">
        <f t="shared" si="2"/>
        <v>1.0956521739130434</v>
      </c>
      <c r="L17" s="250" t="s">
        <v>231</v>
      </c>
    </row>
    <row r="18" spans="2:12" x14ac:dyDescent="0.3">
      <c r="B18" s="16">
        <v>4058</v>
      </c>
      <c r="C18" s="53" t="s">
        <v>62</v>
      </c>
      <c r="D18" s="18">
        <v>788</v>
      </c>
      <c r="E18" s="92">
        <v>214</v>
      </c>
      <c r="F18" s="92">
        <v>0</v>
      </c>
      <c r="G18" s="266">
        <v>130</v>
      </c>
      <c r="H18" s="122">
        <v>135</v>
      </c>
      <c r="I18" s="112">
        <f t="shared" si="0"/>
        <v>0.60747663551401865</v>
      </c>
      <c r="J18" s="112">
        <f t="shared" si="1"/>
        <v>0.63084112149532712</v>
      </c>
      <c r="K18" s="112">
        <f t="shared" si="2"/>
        <v>1.0384615384615385</v>
      </c>
      <c r="L18" s="250" t="s">
        <v>162</v>
      </c>
    </row>
    <row r="19" spans="2:12" s="249" customFormat="1" ht="21" customHeight="1" x14ac:dyDescent="0.3">
      <c r="B19" s="203">
        <v>4059</v>
      </c>
      <c r="C19" s="198" t="s">
        <v>96</v>
      </c>
      <c r="D19" s="199">
        <v>32576</v>
      </c>
      <c r="E19" s="200">
        <v>0</v>
      </c>
      <c r="F19" s="200">
        <v>0</v>
      </c>
      <c r="G19" s="201">
        <v>0</v>
      </c>
      <c r="H19" s="201">
        <v>0</v>
      </c>
      <c r="I19" s="202" t="str">
        <f t="shared" si="0"/>
        <v>n/a</v>
      </c>
      <c r="J19" s="202" t="str">
        <f t="shared" si="1"/>
        <v>n/a</v>
      </c>
      <c r="K19" s="202" t="str">
        <f t="shared" si="2"/>
        <v>n/a</v>
      </c>
      <c r="L19" s="398"/>
    </row>
    <row r="20" spans="2:12" ht="57.6" customHeight="1" x14ac:dyDescent="0.3">
      <c r="B20" s="16">
        <v>4060</v>
      </c>
      <c r="C20" s="53" t="s">
        <v>63</v>
      </c>
      <c r="D20" s="18">
        <v>967</v>
      </c>
      <c r="E20" s="92">
        <v>1167.4000000000001</v>
      </c>
      <c r="F20" s="92">
        <v>132</v>
      </c>
      <c r="G20" s="266">
        <v>1099</v>
      </c>
      <c r="H20" s="122">
        <v>1153</v>
      </c>
      <c r="I20" s="112">
        <f t="shared" si="0"/>
        <v>0.94140825766660952</v>
      </c>
      <c r="J20" s="112">
        <f t="shared" si="1"/>
        <v>0.98766489635086507</v>
      </c>
      <c r="K20" s="112">
        <f t="shared" si="2"/>
        <v>1.0491355777979983</v>
      </c>
      <c r="L20" s="250" t="s">
        <v>242</v>
      </c>
    </row>
    <row r="21" spans="2:12" x14ac:dyDescent="0.3">
      <c r="B21" s="16">
        <v>4062</v>
      </c>
      <c r="C21" s="53" t="s">
        <v>205</v>
      </c>
      <c r="D21" s="18">
        <v>2909</v>
      </c>
      <c r="E21" s="92">
        <v>8889.33</v>
      </c>
      <c r="F21" s="92">
        <v>3035</v>
      </c>
      <c r="G21" s="266">
        <v>0</v>
      </c>
      <c r="H21" s="122">
        <v>0</v>
      </c>
      <c r="I21" s="112">
        <f t="shared" si="0"/>
        <v>0</v>
      </c>
      <c r="J21" s="112">
        <f t="shared" si="1"/>
        <v>0</v>
      </c>
      <c r="K21" s="112" t="str">
        <f t="shared" si="2"/>
        <v>n/a</v>
      </c>
      <c r="L21" s="250" t="s">
        <v>232</v>
      </c>
    </row>
    <row r="22" spans="2:12" x14ac:dyDescent="0.3">
      <c r="B22" s="16">
        <v>4452</v>
      </c>
      <c r="C22" s="53" t="s">
        <v>64</v>
      </c>
      <c r="D22" s="18">
        <v>500</v>
      </c>
      <c r="E22" s="92">
        <v>275</v>
      </c>
      <c r="F22" s="92">
        <v>0</v>
      </c>
      <c r="G22" s="266">
        <v>262.5</v>
      </c>
      <c r="H22" s="122">
        <v>275.625</v>
      </c>
      <c r="I22" s="112">
        <f t="shared" si="0"/>
        <v>0.95454545454545459</v>
      </c>
      <c r="J22" s="112">
        <f t="shared" si="1"/>
        <v>1.0022727272727272</v>
      </c>
      <c r="K22" s="112">
        <f t="shared" ref="K22:K23" si="3">IFERROR(H22/G22,"n/a")</f>
        <v>1.05</v>
      </c>
      <c r="L22" s="250" t="s">
        <v>228</v>
      </c>
    </row>
    <row r="23" spans="2:12" ht="27" x14ac:dyDescent="0.3">
      <c r="B23" s="16" t="s">
        <v>159</v>
      </c>
      <c r="C23" s="53" t="s">
        <v>270</v>
      </c>
      <c r="D23" s="18">
        <v>0</v>
      </c>
      <c r="E23" s="92">
        <v>0</v>
      </c>
      <c r="F23" s="92">
        <v>0</v>
      </c>
      <c r="G23" s="266">
        <v>0</v>
      </c>
      <c r="H23" s="122">
        <v>500</v>
      </c>
      <c r="I23" s="112" t="str">
        <f t="shared" si="0"/>
        <v>n/a</v>
      </c>
      <c r="J23" s="112" t="str">
        <f t="shared" si="1"/>
        <v>n/a</v>
      </c>
      <c r="K23" s="112" t="str">
        <f t="shared" si="3"/>
        <v>n/a</v>
      </c>
      <c r="L23" s="516" t="s">
        <v>271</v>
      </c>
    </row>
    <row r="24" spans="2:12" x14ac:dyDescent="0.3">
      <c r="B24" s="16"/>
      <c r="C24" s="53"/>
      <c r="D24" s="18"/>
      <c r="E24" s="92"/>
      <c r="F24" s="92"/>
      <c r="G24" s="159"/>
      <c r="H24" s="156"/>
      <c r="I24" s="112"/>
      <c r="J24" s="112"/>
      <c r="K24" s="112"/>
    </row>
    <row r="25" spans="2:12" ht="24" customHeight="1" x14ac:dyDescent="0.3">
      <c r="B25" s="23"/>
      <c r="C25" s="58" t="s">
        <v>5</v>
      </c>
      <c r="D25" s="4">
        <f>SUM(D6:D24)</f>
        <v>123239</v>
      </c>
      <c r="E25" s="4">
        <f>SUM(E6:E24)</f>
        <v>108485.93</v>
      </c>
      <c r="F25" s="4">
        <f>SUM(F6:F24)</f>
        <v>48055</v>
      </c>
      <c r="G25" s="178">
        <f>SUM(G6:G24)</f>
        <v>92713.1</v>
      </c>
      <c r="H25" s="169">
        <f>SUM(H6:H24)</f>
        <v>99012.324999999997</v>
      </c>
      <c r="I25" s="113">
        <f>IFERROR(G25/E25,"n/a")</f>
        <v>0.85460944105839354</v>
      </c>
      <c r="J25" s="113">
        <f>IFERROR(H25/E25,"n/a")</f>
        <v>0.91267434403705627</v>
      </c>
      <c r="K25" s="113">
        <f t="shared" si="2"/>
        <v>1.0679432032797953</v>
      </c>
      <c r="L25" s="333"/>
    </row>
    <row r="26" spans="2:12" x14ac:dyDescent="0.3">
      <c r="B26" s="16"/>
      <c r="C26" s="53"/>
      <c r="D26" s="18"/>
      <c r="E26" s="92"/>
      <c r="F26" s="92"/>
      <c r="G26" s="159"/>
      <c r="H26" s="156"/>
      <c r="I26" s="92"/>
      <c r="J26" s="112"/>
      <c r="K26" s="112"/>
      <c r="L26" s="332"/>
    </row>
    <row r="27" spans="2:12" ht="27" x14ac:dyDescent="0.3">
      <c r="B27" s="16">
        <v>4400</v>
      </c>
      <c r="C27" s="53" t="s">
        <v>66</v>
      </c>
      <c r="D27" s="18">
        <v>12295</v>
      </c>
      <c r="E27" s="92">
        <v>13866</v>
      </c>
      <c r="F27" s="92">
        <v>0</v>
      </c>
      <c r="G27" s="266">
        <v>13848.61</v>
      </c>
      <c r="H27" s="122">
        <v>15082</v>
      </c>
      <c r="I27" s="112">
        <f>IFERROR(G27/E27,"n/a")</f>
        <v>0.99874585316601761</v>
      </c>
      <c r="J27" s="112">
        <f>IFERROR(H27/E27,"n/a")</f>
        <v>1.0876965238713399</v>
      </c>
      <c r="K27" s="112">
        <f>IFERROR(H27/G27,"n/a")</f>
        <v>1.0890623679921667</v>
      </c>
      <c r="L27" s="250" t="s">
        <v>240</v>
      </c>
    </row>
    <row r="28" spans="2:12" x14ac:dyDescent="0.3">
      <c r="B28" s="34">
        <v>4448</v>
      </c>
      <c r="C28" s="53" t="s">
        <v>67</v>
      </c>
      <c r="D28" s="18">
        <v>17800</v>
      </c>
      <c r="E28" s="92">
        <v>4150</v>
      </c>
      <c r="F28" s="92">
        <v>0</v>
      </c>
      <c r="G28" s="266">
        <v>4150</v>
      </c>
      <c r="H28" s="122">
        <v>7000</v>
      </c>
      <c r="I28" s="112">
        <f>IFERROR(G28/E28,"n/a")</f>
        <v>1</v>
      </c>
      <c r="J28" s="112">
        <f>IFERROR(H28/E28,"n/a")</f>
        <v>1.6867469879518073</v>
      </c>
      <c r="K28" s="112">
        <f>IFERROR(H28/G28,"n/a")</f>
        <v>1.6867469879518073</v>
      </c>
      <c r="L28" s="250" t="s">
        <v>163</v>
      </c>
    </row>
    <row r="29" spans="2:12" s="204" customFormat="1" ht="27" x14ac:dyDescent="0.3">
      <c r="B29" s="203">
        <v>4449</v>
      </c>
      <c r="C29" s="198" t="s">
        <v>68</v>
      </c>
      <c r="D29" s="199">
        <v>0</v>
      </c>
      <c r="E29" s="200">
        <v>0</v>
      </c>
      <c r="F29" s="200">
        <v>0</v>
      </c>
      <c r="G29" s="201">
        <v>0</v>
      </c>
      <c r="H29" s="200">
        <v>0</v>
      </c>
      <c r="I29" s="202" t="str">
        <f>IFERROR(G29/E29,"n/a")</f>
        <v>n/a</v>
      </c>
      <c r="J29" s="202" t="str">
        <f>IFERROR(H29/E29,"n/a")</f>
        <v>n/a</v>
      </c>
      <c r="K29" s="202" t="str">
        <f>IFERROR(H29/G29,"n/a")</f>
        <v>n/a</v>
      </c>
      <c r="L29" s="399" t="s">
        <v>94</v>
      </c>
    </row>
    <row r="30" spans="2:12" x14ac:dyDescent="0.3">
      <c r="B30" s="16"/>
      <c r="C30" s="53"/>
      <c r="D30" s="18"/>
      <c r="E30" s="92"/>
      <c r="F30" s="92"/>
      <c r="G30" s="159"/>
      <c r="H30" s="156"/>
      <c r="I30" s="112"/>
      <c r="J30" s="112"/>
      <c r="K30" s="112"/>
      <c r="L30" s="331"/>
    </row>
    <row r="31" spans="2:12" ht="22.2" customHeight="1" x14ac:dyDescent="0.3">
      <c r="B31" s="68"/>
      <c r="C31" s="69" t="s">
        <v>6</v>
      </c>
      <c r="D31" s="70">
        <f>SUM(D27:D30)</f>
        <v>30095</v>
      </c>
      <c r="E31" s="70">
        <f>SUM(E27:E30)</f>
        <v>18016</v>
      </c>
      <c r="F31" s="70">
        <f>SUM(F27:F30)</f>
        <v>0</v>
      </c>
      <c r="G31" s="179">
        <f>SUM(G27:G30)</f>
        <v>17998.61</v>
      </c>
      <c r="H31" s="180">
        <f>SUM(H27:H30)</f>
        <v>22082</v>
      </c>
      <c r="I31" s="114">
        <f>IFERROR(G31/E31,"n/a")</f>
        <v>0.99903474689165195</v>
      </c>
      <c r="J31" s="114">
        <f>IFERROR(H31/E31,"n/a")</f>
        <v>1.2256882770870337</v>
      </c>
      <c r="K31" s="114">
        <f>IFERROR(H31/G31,"n/a")</f>
        <v>1.2268725196001247</v>
      </c>
      <c r="L31" s="334"/>
    </row>
    <row r="32" spans="2:12" x14ac:dyDescent="0.3">
      <c r="B32" s="491"/>
      <c r="C32" s="492"/>
      <c r="D32" s="18"/>
      <c r="E32" s="92"/>
      <c r="F32" s="92"/>
      <c r="G32" s="266"/>
      <c r="H32" s="156"/>
      <c r="I32" s="112"/>
      <c r="J32" s="112"/>
      <c r="K32" s="112"/>
      <c r="L32" s="133"/>
    </row>
    <row r="33" spans="2:12" ht="27" x14ac:dyDescent="0.3">
      <c r="B33" s="491">
        <v>4030</v>
      </c>
      <c r="C33" s="53" t="s">
        <v>103</v>
      </c>
      <c r="D33" s="18">
        <v>0</v>
      </c>
      <c r="E33" s="92">
        <v>0</v>
      </c>
      <c r="F33" s="92">
        <v>0</v>
      </c>
      <c r="G33" s="266">
        <v>0</v>
      </c>
      <c r="H33" s="122">
        <v>0</v>
      </c>
      <c r="I33" s="112" t="str">
        <f>IFERROR(G33/E33,"n/a")</f>
        <v>n/a</v>
      </c>
      <c r="J33" s="112" t="str">
        <f>IFERROR(H33/E33,"n/a")</f>
        <v>n/a</v>
      </c>
      <c r="K33" s="112" t="str">
        <f>IFERROR(H33/G33,"n/a")</f>
        <v>n/a</v>
      </c>
      <c r="L33" s="250" t="s">
        <v>288</v>
      </c>
    </row>
    <row r="34" spans="2:12" x14ac:dyDescent="0.3">
      <c r="B34" s="491"/>
      <c r="C34" s="53"/>
      <c r="D34" s="18"/>
      <c r="E34" s="92"/>
      <c r="F34" s="92"/>
      <c r="G34" s="266">
        <v>0</v>
      </c>
      <c r="H34" s="122">
        <v>0</v>
      </c>
      <c r="I34" s="112"/>
      <c r="J34" s="112"/>
      <c r="K34" s="112"/>
      <c r="L34" s="133"/>
    </row>
    <row r="35" spans="2:12" ht="27" x14ac:dyDescent="0.3">
      <c r="B35" s="491">
        <v>4477</v>
      </c>
      <c r="C35" s="53" t="s">
        <v>132</v>
      </c>
      <c r="D35" s="18">
        <v>10000</v>
      </c>
      <c r="E35" s="92">
        <v>0</v>
      </c>
      <c r="F35" s="92">
        <v>0</v>
      </c>
      <c r="G35" s="266">
        <v>10000</v>
      </c>
      <c r="H35" s="122">
        <v>10000</v>
      </c>
      <c r="I35" s="112" t="str">
        <f>IFERROR(G35/E35,"n/a")</f>
        <v>n/a</v>
      </c>
      <c r="J35" s="112" t="str">
        <f>IFERROR(H35/E35,"n/a")</f>
        <v>n/a</v>
      </c>
      <c r="K35" s="112">
        <f>IFERROR(H35/G35,"n/a")</f>
        <v>1</v>
      </c>
      <c r="L35" s="250" t="s">
        <v>165</v>
      </c>
    </row>
    <row r="36" spans="2:12" x14ac:dyDescent="0.3">
      <c r="B36" s="491"/>
      <c r="C36" s="53"/>
      <c r="D36" s="18"/>
      <c r="E36" s="92"/>
      <c r="F36" s="92"/>
      <c r="G36" s="266"/>
      <c r="H36" s="122"/>
      <c r="I36" s="112"/>
      <c r="J36" s="112"/>
      <c r="K36" s="112"/>
      <c r="L36" s="133"/>
    </row>
    <row r="37" spans="2:12" ht="53.4" x14ac:dyDescent="0.3">
      <c r="B37" s="491">
        <v>4721</v>
      </c>
      <c r="C37" s="53" t="s">
        <v>127</v>
      </c>
      <c r="D37" s="18">
        <v>8657</v>
      </c>
      <c r="E37" s="92">
        <v>0</v>
      </c>
      <c r="F37" s="92">
        <v>1577</v>
      </c>
      <c r="G37" s="266">
        <v>2326.7800000000002</v>
      </c>
      <c r="H37" s="122">
        <v>22488</v>
      </c>
      <c r="I37" s="112" t="str">
        <f>IFERROR(G37/E37,"n/a")</f>
        <v>n/a</v>
      </c>
      <c r="J37" s="112" t="str">
        <f>IFERROR(H37/E37,"n/a")</f>
        <v>n/a</v>
      </c>
      <c r="K37" s="112">
        <f>IFERROR(H37/G37,"n/a")</f>
        <v>9.6648587318096251</v>
      </c>
      <c r="L37" s="250" t="s">
        <v>287</v>
      </c>
    </row>
    <row r="38" spans="2:12" x14ac:dyDescent="0.3">
      <c r="B38" s="491"/>
      <c r="C38" s="53"/>
      <c r="D38" s="18"/>
      <c r="E38" s="92"/>
      <c r="F38" s="92"/>
      <c r="G38" s="266"/>
      <c r="H38" s="122"/>
      <c r="I38" s="112"/>
      <c r="J38" s="112"/>
      <c r="K38" s="112"/>
      <c r="L38" s="133"/>
    </row>
    <row r="39" spans="2:12" ht="40.200000000000003" x14ac:dyDescent="0.3">
      <c r="B39" s="491">
        <v>4730</v>
      </c>
      <c r="C39" s="53" t="s">
        <v>133</v>
      </c>
      <c r="D39" s="18">
        <v>600</v>
      </c>
      <c r="E39" s="92">
        <v>0</v>
      </c>
      <c r="F39" s="92">
        <v>0</v>
      </c>
      <c r="G39" s="541">
        <v>0</v>
      </c>
      <c r="H39" s="122">
        <v>0</v>
      </c>
      <c r="I39" s="112" t="str">
        <f>IFERROR(G39/E39,"n/a")</f>
        <v>n/a</v>
      </c>
      <c r="J39" s="112" t="str">
        <f>IFERROR(H39/E39,"n/a")</f>
        <v>n/a</v>
      </c>
      <c r="K39" s="112" t="str">
        <f>IFERROR(H39/G39,"n/a")</f>
        <v>n/a</v>
      </c>
      <c r="L39" s="250" t="s">
        <v>300</v>
      </c>
    </row>
    <row r="40" spans="2:12" x14ac:dyDescent="0.3">
      <c r="B40" s="491"/>
      <c r="C40" s="53"/>
      <c r="D40" s="18"/>
      <c r="E40" s="92"/>
      <c r="F40" s="92"/>
      <c r="G40" s="266"/>
      <c r="H40" s="122"/>
      <c r="I40" s="112"/>
      <c r="J40" s="112"/>
      <c r="K40" s="112"/>
      <c r="L40" s="133"/>
    </row>
    <row r="41" spans="2:12" x14ac:dyDescent="0.3">
      <c r="B41" s="203">
        <v>4062</v>
      </c>
      <c r="C41" s="198" t="s">
        <v>169</v>
      </c>
      <c r="D41" s="199">
        <v>0</v>
      </c>
      <c r="E41" s="200">
        <v>0</v>
      </c>
      <c r="F41" s="200">
        <v>3477</v>
      </c>
      <c r="G41" s="201">
        <v>3477</v>
      </c>
      <c r="H41" s="201">
        <v>0</v>
      </c>
      <c r="I41" s="202" t="str">
        <f>IFERROR(G41/E41,"n/a")</f>
        <v>n/a</v>
      </c>
      <c r="J41" s="202" t="str">
        <f>IFERROR(H41/E41,"n/a")</f>
        <v>n/a</v>
      </c>
      <c r="K41" s="202">
        <f>IFERROR(H41/G41,"n/a")</f>
        <v>0</v>
      </c>
      <c r="L41" s="529" t="s">
        <v>233</v>
      </c>
    </row>
    <row r="42" spans="2:12" x14ac:dyDescent="0.3">
      <c r="B42" s="491"/>
      <c r="C42" s="53"/>
      <c r="D42" s="18"/>
      <c r="E42" s="92"/>
      <c r="F42" s="92"/>
      <c r="G42" s="266"/>
      <c r="H42" s="156"/>
      <c r="I42" s="112"/>
      <c r="J42" s="112"/>
      <c r="K42" s="112"/>
      <c r="L42" s="133"/>
    </row>
    <row r="43" spans="2:12" s="249" customFormat="1" x14ac:dyDescent="0.3">
      <c r="B43" s="203">
        <v>4920</v>
      </c>
      <c r="C43" s="198" t="s">
        <v>104</v>
      </c>
      <c r="D43" s="199">
        <v>12437</v>
      </c>
      <c r="E43" s="530">
        <v>0</v>
      </c>
      <c r="F43" s="530">
        <v>0</v>
      </c>
      <c r="G43" s="201">
        <v>0</v>
      </c>
      <c r="H43" s="530">
        <v>0</v>
      </c>
      <c r="I43" s="202" t="str">
        <f>IFERROR(G43/E43,"n/a")</f>
        <v>n/a</v>
      </c>
      <c r="J43" s="202" t="str">
        <f>IFERROR(H43/E43,"n/a")</f>
        <v>n/a</v>
      </c>
      <c r="K43" s="202" t="str">
        <f>IFERROR(H43/G43,"n/a")</f>
        <v>n/a</v>
      </c>
      <c r="L43" s="398" t="s">
        <v>164</v>
      </c>
    </row>
    <row r="44" spans="2:12" s="249" customFormat="1" x14ac:dyDescent="0.3">
      <c r="B44" s="491"/>
      <c r="C44" s="53"/>
      <c r="D44" s="18"/>
      <c r="E44" s="493"/>
      <c r="F44" s="493"/>
      <c r="G44" s="266"/>
      <c r="H44" s="183"/>
      <c r="I44" s="112"/>
      <c r="J44" s="112"/>
      <c r="K44" s="112"/>
      <c r="L44" s="250"/>
    </row>
    <row r="45" spans="2:12" ht="40.200000000000003" x14ac:dyDescent="0.3">
      <c r="B45" s="491">
        <v>4930</v>
      </c>
      <c r="C45" s="53" t="s">
        <v>105</v>
      </c>
      <c r="D45" s="18">
        <v>46921</v>
      </c>
      <c r="E45" s="92">
        <v>0</v>
      </c>
      <c r="F45" s="92">
        <v>5437</v>
      </c>
      <c r="G45" s="266">
        <f>CIL!K12-CIL!K7</f>
        <v>10727.330000000002</v>
      </c>
      <c r="H45" s="156">
        <f>CIL!K21</f>
        <v>45400</v>
      </c>
      <c r="I45" s="112" t="str">
        <f>IFERROR(G45/E45,"n/a")</f>
        <v>n/a</v>
      </c>
      <c r="J45" s="112" t="str">
        <f>IFERROR(H45/E45,"n/a")</f>
        <v>n/a</v>
      </c>
      <c r="K45" s="112">
        <f>IFERROR(H45/G45,"n/a")</f>
        <v>4.2321807942889791</v>
      </c>
      <c r="L45" s="250" t="s">
        <v>296</v>
      </c>
    </row>
    <row r="46" spans="2:12" x14ac:dyDescent="0.3">
      <c r="B46" s="491"/>
      <c r="C46" s="56"/>
      <c r="D46" s="18"/>
      <c r="E46" s="92"/>
      <c r="F46" s="92"/>
      <c r="G46" s="266"/>
      <c r="H46" s="156"/>
      <c r="I46" s="112"/>
      <c r="J46" s="112"/>
      <c r="K46" s="112"/>
      <c r="L46" s="250"/>
    </row>
    <row r="47" spans="2:12" x14ac:dyDescent="0.3">
      <c r="B47" s="494"/>
      <c r="C47" s="495" t="s">
        <v>106</v>
      </c>
      <c r="D47" s="496">
        <f>SUM(D33:D46)</f>
        <v>78615</v>
      </c>
      <c r="E47" s="483">
        <f>SUM(E33:E46)</f>
        <v>0</v>
      </c>
      <c r="F47" s="483">
        <f>SUM(F33:F46)</f>
        <v>10491</v>
      </c>
      <c r="G47" s="488">
        <f t="shared" ref="G47:H47" si="4">SUM(G33:G46)</f>
        <v>26531.11</v>
      </c>
      <c r="H47" s="490">
        <f t="shared" si="4"/>
        <v>77888</v>
      </c>
      <c r="I47" s="497" t="str">
        <f>IFERROR(G47/E47,"n/a")</f>
        <v>n/a</v>
      </c>
      <c r="J47" s="497" t="str">
        <f>IFERROR(H47/E47,"n/a")</f>
        <v>n/a</v>
      </c>
      <c r="K47" s="497">
        <f>IFERROR(H47/G47,"n/a")</f>
        <v>2.9357233828513016</v>
      </c>
      <c r="L47" s="498"/>
    </row>
    <row r="48" spans="2:12" x14ac:dyDescent="0.3">
      <c r="B48" s="417"/>
      <c r="C48" s="414"/>
      <c r="D48" s="253"/>
      <c r="E48" s="400"/>
      <c r="F48" s="400"/>
      <c r="G48" s="266"/>
      <c r="H48" s="156"/>
      <c r="I48" s="255"/>
      <c r="J48" s="418"/>
      <c r="K48" s="418"/>
      <c r="L48" s="415"/>
    </row>
    <row r="49" spans="2:12" ht="22.95" customHeight="1" thickBot="1" x14ac:dyDescent="0.35">
      <c r="B49" s="499"/>
      <c r="C49" s="62" t="s">
        <v>69</v>
      </c>
      <c r="D49" s="21">
        <f>+D25+D31+D47</f>
        <v>231949</v>
      </c>
      <c r="E49" s="21">
        <f>+E25+E31+E47</f>
        <v>126501.93</v>
      </c>
      <c r="F49" s="21">
        <f>+F25+F31+F47</f>
        <v>58546</v>
      </c>
      <c r="G49" s="489">
        <f>+G25+G31+G47</f>
        <v>137242.82</v>
      </c>
      <c r="H49" s="170">
        <f>+H25+H31+H47</f>
        <v>198982.32500000001</v>
      </c>
      <c r="I49" s="182">
        <f>IFERROR(G49/E49,"n/a")</f>
        <v>1.0849069259259523</v>
      </c>
      <c r="J49" s="182">
        <f>IFERROR(H49/E49,"n/a")</f>
        <v>1.5729588078221417</v>
      </c>
      <c r="K49" s="182">
        <f>IFERROR(H49/G49,"n/a")</f>
        <v>1.4498559924664911</v>
      </c>
      <c r="L49" s="487"/>
    </row>
    <row r="50" spans="2:12" x14ac:dyDescent="0.3">
      <c r="H50" s="500"/>
    </row>
  </sheetData>
  <phoneticPr fontId="10" type="noConversion"/>
  <pageMargins left="0.75000000000000011" right="0.75000000000000011" top="1" bottom="1" header="0.5" footer="0.5"/>
  <pageSetup paperSize="9"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28"/>
  <sheetViews>
    <sheetView topLeftCell="D20" workbookViewId="0">
      <selection activeCell="H14" sqref="H14"/>
    </sheetView>
  </sheetViews>
  <sheetFormatPr defaultColWidth="11.19921875" defaultRowHeight="15.6" x14ac:dyDescent="0.3"/>
  <cols>
    <col min="1" max="1" width="4.5" customWidth="1"/>
    <col min="2" max="2" width="10.69921875" customWidth="1"/>
    <col min="3" max="3" width="35" customWidth="1"/>
    <col min="4" max="11" width="13.5" customWidth="1"/>
    <col min="12" max="12" width="61.5" customWidth="1"/>
  </cols>
  <sheetData>
    <row r="1" spans="2:12" ht="16.2" thickBot="1" x14ac:dyDescent="0.35"/>
    <row r="2" spans="2:12" ht="21" x14ac:dyDescent="0.3">
      <c r="B2" s="287" t="s">
        <v>195</v>
      </c>
      <c r="C2" s="288"/>
      <c r="D2" s="288"/>
      <c r="E2" s="289"/>
      <c r="F2" s="289"/>
      <c r="G2" s="301"/>
      <c r="H2" s="301"/>
      <c r="I2" s="290"/>
      <c r="J2" s="290"/>
      <c r="K2" s="290"/>
      <c r="L2" s="291"/>
    </row>
    <row r="3" spans="2:12" ht="21" x14ac:dyDescent="0.3">
      <c r="B3" s="292" t="s">
        <v>70</v>
      </c>
      <c r="C3" s="293"/>
      <c r="D3" s="293"/>
      <c r="E3" s="294"/>
      <c r="F3" s="294"/>
      <c r="G3" s="302"/>
      <c r="H3" s="302"/>
      <c r="I3" s="295"/>
      <c r="J3" s="295"/>
      <c r="K3" s="295"/>
      <c r="L3" s="296"/>
    </row>
    <row r="4" spans="2:12" ht="63" thickBot="1" x14ac:dyDescent="0.35">
      <c r="B4" s="297" t="s">
        <v>33</v>
      </c>
      <c r="C4" s="298" t="s">
        <v>34</v>
      </c>
      <c r="D4" s="285" t="s">
        <v>196</v>
      </c>
      <c r="E4" s="285" t="s">
        <v>99</v>
      </c>
      <c r="F4" s="285" t="s">
        <v>269</v>
      </c>
      <c r="G4" s="303" t="s">
        <v>197</v>
      </c>
      <c r="H4" s="303" t="s">
        <v>198</v>
      </c>
      <c r="I4" s="286" t="s">
        <v>199</v>
      </c>
      <c r="J4" s="285" t="s">
        <v>200</v>
      </c>
      <c r="K4" s="285" t="s">
        <v>201</v>
      </c>
      <c r="L4" s="299" t="s">
        <v>237</v>
      </c>
    </row>
    <row r="5" spans="2:12" x14ac:dyDescent="0.3">
      <c r="B5" s="13"/>
      <c r="C5" s="64"/>
      <c r="D5" s="185"/>
      <c r="E5" s="185"/>
      <c r="F5" s="185"/>
      <c r="G5" s="186"/>
      <c r="H5" s="187"/>
      <c r="I5" s="171"/>
      <c r="J5" s="171"/>
      <c r="K5" s="171"/>
      <c r="L5" s="137"/>
    </row>
    <row r="6" spans="2:12" ht="45.6" x14ac:dyDescent="0.3">
      <c r="B6" s="29">
        <v>4142</v>
      </c>
      <c r="C6" s="67" t="s">
        <v>71</v>
      </c>
      <c r="D6" s="15">
        <v>350</v>
      </c>
      <c r="E6" s="15">
        <v>1000</v>
      </c>
      <c r="F6" s="15">
        <v>0</v>
      </c>
      <c r="G6" s="163">
        <v>825</v>
      </c>
      <c r="H6" s="188">
        <v>2600</v>
      </c>
      <c r="I6" s="173">
        <f>IFERROR(G6/E6,"n/a")</f>
        <v>0.82499999999999996</v>
      </c>
      <c r="J6" s="173">
        <f>IFERROR(H6/E6,"n/a")</f>
        <v>2.6</v>
      </c>
      <c r="K6" s="173">
        <f>IFERROR(H6/G6,"n/a")</f>
        <v>3.1515151515151514</v>
      </c>
      <c r="L6" s="397" t="s">
        <v>276</v>
      </c>
    </row>
    <row r="7" spans="2:12" x14ac:dyDescent="0.3">
      <c r="B7" s="13"/>
      <c r="C7" s="67"/>
      <c r="D7" s="1"/>
      <c r="E7" s="1"/>
      <c r="F7" s="1"/>
      <c r="G7" s="159"/>
      <c r="H7" s="122"/>
      <c r="I7" s="171"/>
      <c r="J7" s="171"/>
      <c r="K7" s="171"/>
      <c r="L7" s="137"/>
    </row>
    <row r="8" spans="2:12" ht="90.6" x14ac:dyDescent="0.3">
      <c r="B8" s="29">
        <v>4143</v>
      </c>
      <c r="C8" s="67" t="s">
        <v>72</v>
      </c>
      <c r="D8" s="15">
        <v>303</v>
      </c>
      <c r="E8" s="15">
        <v>378</v>
      </c>
      <c r="F8" s="15">
        <v>436</v>
      </c>
      <c r="G8" s="163">
        <v>438.12</v>
      </c>
      <c r="H8" s="188">
        <v>645</v>
      </c>
      <c r="I8" s="173">
        <f>IFERROR(G8/E8,"n/a")</f>
        <v>1.1590476190476191</v>
      </c>
      <c r="J8" s="173">
        <f>IFERROR(H8/E8,"n/a")</f>
        <v>1.7063492063492063</v>
      </c>
      <c r="K8" s="173">
        <f>IFERROR(H8/G8,"n/a")</f>
        <v>1.4721993974253629</v>
      </c>
      <c r="L8" s="397" t="s">
        <v>225</v>
      </c>
    </row>
    <row r="9" spans="2:12" x14ac:dyDescent="0.3">
      <c r="B9" s="29"/>
      <c r="C9" s="67"/>
      <c r="D9" s="15"/>
      <c r="E9" s="15">
        <v>0</v>
      </c>
      <c r="F9" s="15">
        <v>0</v>
      </c>
      <c r="G9" s="163"/>
      <c r="H9" s="188">
        <v>0</v>
      </c>
      <c r="I9" s="173"/>
      <c r="J9" s="173"/>
      <c r="K9" s="173"/>
      <c r="L9" s="137"/>
    </row>
    <row r="10" spans="2:12" ht="30.6" x14ac:dyDescent="0.3">
      <c r="B10" s="29">
        <v>4144</v>
      </c>
      <c r="C10" s="67" t="s">
        <v>73</v>
      </c>
      <c r="D10" s="15">
        <v>1666</v>
      </c>
      <c r="E10" s="15">
        <v>3900</v>
      </c>
      <c r="F10" s="15">
        <v>710</v>
      </c>
      <c r="G10" s="163">
        <v>1793</v>
      </c>
      <c r="H10" s="188">
        <v>1624.5</v>
      </c>
      <c r="I10" s="173">
        <f>IFERROR(G10/E10,"n/a")</f>
        <v>0.45974358974358975</v>
      </c>
      <c r="J10" s="173">
        <f>IFERROR(H10/E10,"n/a")</f>
        <v>0.41653846153846152</v>
      </c>
      <c r="K10" s="173">
        <f>IFERROR(H10/G10,"n/a")</f>
        <v>0.90602342442833239</v>
      </c>
      <c r="L10" s="397" t="s">
        <v>224</v>
      </c>
    </row>
    <row r="11" spans="2:12" x14ac:dyDescent="0.3">
      <c r="B11" s="29"/>
      <c r="C11" s="67"/>
      <c r="D11" s="15"/>
      <c r="E11" s="15"/>
      <c r="F11" s="15"/>
      <c r="G11" s="163"/>
      <c r="H11" s="188"/>
      <c r="I11" s="173"/>
      <c r="J11" s="173"/>
      <c r="K11" s="173"/>
      <c r="L11" s="137"/>
    </row>
    <row r="12" spans="2:12" x14ac:dyDescent="0.3">
      <c r="B12" s="29">
        <v>4146</v>
      </c>
      <c r="C12" s="67" t="s">
        <v>74</v>
      </c>
      <c r="D12" s="15">
        <v>50</v>
      </c>
      <c r="E12" s="15">
        <v>500</v>
      </c>
      <c r="F12" s="15">
        <v>0</v>
      </c>
      <c r="G12" s="163">
        <v>30</v>
      </c>
      <c r="H12" s="188">
        <v>250</v>
      </c>
      <c r="I12" s="173">
        <f>IFERROR(G12/E12,"n/a")</f>
        <v>0.06</v>
      </c>
      <c r="J12" s="173">
        <f>IFERROR(H12/E12,"n/a")</f>
        <v>0.5</v>
      </c>
      <c r="K12" s="173">
        <f>IFERROR(H12/G12,"n/a")</f>
        <v>8.3333333333333339</v>
      </c>
      <c r="L12" s="397" t="s">
        <v>277</v>
      </c>
    </row>
    <row r="13" spans="2:12" x14ac:dyDescent="0.3">
      <c r="B13" s="29"/>
      <c r="C13" s="52"/>
      <c r="D13" s="15"/>
      <c r="E13" s="15"/>
      <c r="F13" s="15"/>
      <c r="G13" s="163"/>
      <c r="H13" s="124"/>
      <c r="I13" s="173"/>
      <c r="J13" s="173"/>
      <c r="K13" s="173"/>
      <c r="L13" s="397"/>
    </row>
    <row r="14" spans="2:12" ht="31.2" x14ac:dyDescent="0.3">
      <c r="B14" s="431" t="s">
        <v>264</v>
      </c>
      <c r="C14" s="52" t="s">
        <v>265</v>
      </c>
      <c r="D14" s="15">
        <v>0</v>
      </c>
      <c r="E14" s="15">
        <v>0</v>
      </c>
      <c r="F14" s="15">
        <v>0</v>
      </c>
      <c r="G14" s="163">
        <v>0</v>
      </c>
      <c r="H14" s="188">
        <v>150</v>
      </c>
      <c r="I14" s="173" t="str">
        <f>IFERROR(G14/E14,"n/a")</f>
        <v>n/a</v>
      </c>
      <c r="J14" s="173" t="str">
        <f>IFERROR(H14/E14,"n/a")</f>
        <v>n/a</v>
      </c>
      <c r="K14" s="173" t="str">
        <f>IFERROR(H14/G14,"n/a")</f>
        <v>n/a</v>
      </c>
      <c r="L14" s="397"/>
    </row>
    <row r="15" spans="2:12" x14ac:dyDescent="0.3">
      <c r="B15" s="13"/>
      <c r="C15" s="52"/>
      <c r="D15" s="1"/>
      <c r="E15" s="1"/>
      <c r="F15" s="1"/>
      <c r="G15" s="159"/>
      <c r="H15" s="122"/>
      <c r="I15" s="171"/>
      <c r="J15" s="171"/>
      <c r="K15" s="171"/>
      <c r="L15" s="137"/>
    </row>
    <row r="16" spans="2:12" ht="25.2" customHeight="1" thickBot="1" x14ac:dyDescent="0.35">
      <c r="B16" s="30"/>
      <c r="C16" s="60" t="s">
        <v>110</v>
      </c>
      <c r="D16" s="21">
        <f>SUM(D6:D15)</f>
        <v>2369</v>
      </c>
      <c r="E16" s="21">
        <f>SUM(E6:E15)</f>
        <v>5778</v>
      </c>
      <c r="F16" s="21">
        <f>SUM(F6:F15)</f>
        <v>1146</v>
      </c>
      <c r="G16" s="160">
        <f>SUM(G6:G15)</f>
        <v>3086.12</v>
      </c>
      <c r="H16" s="157">
        <f>SUM(H6:H15)</f>
        <v>5269.5</v>
      </c>
      <c r="I16" s="28">
        <f>IFERROR(G16/E16,"n/a")</f>
        <v>0.53411561093804083</v>
      </c>
      <c r="J16" s="28">
        <f>IFERROR(H16/E16,"n/a")</f>
        <v>0.911993769470405</v>
      </c>
      <c r="K16" s="28">
        <f>IFERROR(H16/G16,"n/a")</f>
        <v>1.7074838308296503</v>
      </c>
      <c r="L16" s="150"/>
    </row>
    <row r="17" spans="2:15" x14ac:dyDescent="0.3">
      <c r="B17" s="491"/>
      <c r="C17" s="53"/>
      <c r="D17" s="18"/>
      <c r="E17" s="92"/>
      <c r="F17" s="92"/>
      <c r="G17" s="1"/>
      <c r="H17" s="156"/>
      <c r="I17" s="112"/>
      <c r="J17" s="112"/>
      <c r="K17" s="112"/>
      <c r="L17" s="133"/>
    </row>
    <row r="18" spans="2:15" s="204" customFormat="1" x14ac:dyDescent="0.3">
      <c r="B18" s="203">
        <v>4142</v>
      </c>
      <c r="C18" s="198" t="s">
        <v>107</v>
      </c>
      <c r="D18" s="199">
        <v>0</v>
      </c>
      <c r="E18" s="200">
        <v>0</v>
      </c>
      <c r="F18" s="200">
        <v>0</v>
      </c>
      <c r="G18" s="201">
        <v>0</v>
      </c>
      <c r="H18" s="200">
        <v>0</v>
      </c>
      <c r="I18" s="202" t="str">
        <f>IFERROR(G18/E18,"n/a")</f>
        <v>n/a</v>
      </c>
      <c r="J18" s="202" t="str">
        <f>IFERROR(H18/E18,"n/a")</f>
        <v>n/a</v>
      </c>
      <c r="K18" s="202" t="str">
        <f>IFERROR(H18/G18,"n/a")</f>
        <v>n/a</v>
      </c>
      <c r="L18" s="529" t="s">
        <v>289</v>
      </c>
    </row>
    <row r="19" spans="2:15" x14ac:dyDescent="0.3">
      <c r="B19" s="501"/>
      <c r="C19" s="196"/>
      <c r="D19" s="18"/>
      <c r="E19" s="92"/>
      <c r="F19" s="92"/>
      <c r="G19" s="266"/>
      <c r="H19" s="156"/>
      <c r="I19" s="112"/>
      <c r="J19" s="112"/>
      <c r="K19" s="112"/>
      <c r="L19" s="133"/>
    </row>
    <row r="20" spans="2:15" s="204" customFormat="1" x14ac:dyDescent="0.3">
      <c r="B20" s="494"/>
      <c r="C20" s="495" t="s">
        <v>106</v>
      </c>
      <c r="D20" s="496">
        <f>SUM(D18:D19)</f>
        <v>0</v>
      </c>
      <c r="E20" s="483">
        <f t="shared" ref="E20:H20" si="0">SUM(E18:E19)</f>
        <v>0</v>
      </c>
      <c r="F20" s="483">
        <f t="shared" ref="F20" si="1">SUM(F18:F19)</f>
        <v>0</v>
      </c>
      <c r="G20" s="488">
        <f t="shared" si="0"/>
        <v>0</v>
      </c>
      <c r="H20" s="490">
        <f t="shared" si="0"/>
        <v>0</v>
      </c>
      <c r="I20" s="497" t="str">
        <f>IFERROR(G20/E20,"n/a")</f>
        <v>n/a</v>
      </c>
      <c r="J20" s="497" t="str">
        <f>IFERROR(H20/E20,"n/a")</f>
        <v>n/a</v>
      </c>
      <c r="K20" s="497" t="str">
        <f>IFERROR(H20/G20,"n/a")</f>
        <v>n/a</v>
      </c>
      <c r="L20" s="498"/>
    </row>
    <row r="21" spans="2:15" x14ac:dyDescent="0.3">
      <c r="B21" s="502"/>
      <c r="C21" s="196"/>
      <c r="D21" s="18"/>
      <c r="E21" s="92"/>
      <c r="F21" s="92"/>
      <c r="G21" s="266"/>
      <c r="H21" s="156"/>
      <c r="I21" s="112"/>
      <c r="J21" s="181"/>
      <c r="K21" s="181"/>
      <c r="L21" s="133"/>
    </row>
    <row r="22" spans="2:15" ht="16.2" thickBot="1" x14ac:dyDescent="0.35">
      <c r="B22" s="11"/>
      <c r="C22" s="62" t="s">
        <v>108</v>
      </c>
      <c r="D22" s="21">
        <f>D16+D20</f>
        <v>2369</v>
      </c>
      <c r="E22" s="21">
        <f t="shared" ref="E22:H22" si="2">E16+E20</f>
        <v>5778</v>
      </c>
      <c r="F22" s="21">
        <f t="shared" ref="F22" si="3">F16+F20</f>
        <v>1146</v>
      </c>
      <c r="G22" s="160">
        <f t="shared" si="2"/>
        <v>3086.12</v>
      </c>
      <c r="H22" s="170">
        <f t="shared" si="2"/>
        <v>5269.5</v>
      </c>
      <c r="I22" s="182">
        <f>IFERROR(G22/E22,"n/a")</f>
        <v>0.53411561093804083</v>
      </c>
      <c r="J22" s="182">
        <f>IFERROR(H22/E22,"n/a")</f>
        <v>0.911993769470405</v>
      </c>
      <c r="K22" s="182">
        <f>IFERROR(H22/G22,"n/a")</f>
        <v>1.7074838308296503</v>
      </c>
      <c r="L22" s="134"/>
    </row>
    <row r="28" spans="2:15" x14ac:dyDescent="0.3">
      <c r="I28" s="15"/>
      <c r="J28" s="15"/>
      <c r="K28" s="163"/>
      <c r="L28" s="124"/>
      <c r="M28" s="173"/>
      <c r="N28" s="173"/>
      <c r="O28" s="173"/>
    </row>
  </sheetData>
  <phoneticPr fontId="10" type="noConversion"/>
  <pageMargins left="0.75000000000000011" right="0.75000000000000011" top="1" bottom="1" header="0.5" footer="0.5"/>
  <pageSetup paperSize="9"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42"/>
  <sheetViews>
    <sheetView topLeftCell="D34" workbookViewId="0">
      <selection activeCell="H14" sqref="H14"/>
    </sheetView>
  </sheetViews>
  <sheetFormatPr defaultColWidth="11.19921875" defaultRowHeight="15.6" x14ac:dyDescent="0.3"/>
  <cols>
    <col min="1" max="1" width="4.19921875" customWidth="1"/>
    <col min="2" max="2" width="10.69921875" customWidth="1"/>
    <col min="3" max="3" width="35" customWidth="1"/>
    <col min="4" max="6" width="13.5" customWidth="1"/>
    <col min="7" max="8" width="13.5" style="300" customWidth="1"/>
    <col min="9" max="11" width="13.5" customWidth="1"/>
    <col min="12" max="12" width="61.5" style="314" customWidth="1"/>
  </cols>
  <sheetData>
    <row r="1" spans="2:12" ht="16.2" thickBot="1" x14ac:dyDescent="0.35"/>
    <row r="2" spans="2:12" ht="21" x14ac:dyDescent="0.3">
      <c r="B2" s="287" t="s">
        <v>195</v>
      </c>
      <c r="C2" s="288"/>
      <c r="D2" s="288"/>
      <c r="E2" s="289"/>
      <c r="F2" s="289"/>
      <c r="G2" s="301"/>
      <c r="H2" s="301"/>
      <c r="I2" s="290"/>
      <c r="J2" s="290"/>
      <c r="K2" s="290"/>
      <c r="L2" s="291"/>
    </row>
    <row r="3" spans="2:12" ht="21" x14ac:dyDescent="0.3">
      <c r="B3" s="292" t="s">
        <v>75</v>
      </c>
      <c r="C3" s="293"/>
      <c r="D3" s="293"/>
      <c r="E3" s="294"/>
      <c r="F3" s="294"/>
      <c r="G3" s="302"/>
      <c r="H3" s="302"/>
      <c r="I3" s="295"/>
      <c r="J3" s="295"/>
      <c r="K3" s="295"/>
      <c r="L3" s="296"/>
    </row>
    <row r="4" spans="2:12" ht="63" thickBot="1" x14ac:dyDescent="0.35">
      <c r="B4" s="297" t="s">
        <v>33</v>
      </c>
      <c r="C4" s="298" t="s">
        <v>34</v>
      </c>
      <c r="D4" s="285" t="s">
        <v>196</v>
      </c>
      <c r="E4" s="285" t="s">
        <v>99</v>
      </c>
      <c r="F4" s="285" t="s">
        <v>269</v>
      </c>
      <c r="G4" s="303" t="s">
        <v>197</v>
      </c>
      <c r="H4" s="303" t="s">
        <v>198</v>
      </c>
      <c r="I4" s="286" t="s">
        <v>199</v>
      </c>
      <c r="J4" s="285" t="s">
        <v>200</v>
      </c>
      <c r="K4" s="285" t="s">
        <v>201</v>
      </c>
      <c r="L4" s="299" t="s">
        <v>237</v>
      </c>
    </row>
    <row r="5" spans="2:12" x14ac:dyDescent="0.3">
      <c r="B5" s="13"/>
      <c r="C5" s="52"/>
      <c r="D5" s="2"/>
      <c r="E5" s="3"/>
      <c r="F5" s="3"/>
      <c r="G5" s="304"/>
      <c r="H5" s="304"/>
      <c r="I5" s="10"/>
      <c r="J5" s="10"/>
      <c r="K5" s="10"/>
      <c r="L5" s="151"/>
    </row>
    <row r="6" spans="2:12" ht="120.6" x14ac:dyDescent="0.3">
      <c r="B6" s="17">
        <v>4300</v>
      </c>
      <c r="C6" s="56" t="s">
        <v>76</v>
      </c>
      <c r="D6" s="14">
        <v>3486</v>
      </c>
      <c r="E6" s="14">
        <v>4400</v>
      </c>
      <c r="F6" s="14">
        <v>1280</v>
      </c>
      <c r="G6" s="305">
        <v>3980.04</v>
      </c>
      <c r="H6" s="306">
        <v>4179</v>
      </c>
      <c r="I6" s="78">
        <f>IFERROR(G6/E6,"n/a")</f>
        <v>0.9045545454545455</v>
      </c>
      <c r="J6" s="78">
        <f>IFERROR(H6/E6,"n/a")</f>
        <v>0.94977272727272732</v>
      </c>
      <c r="K6" s="78">
        <f>IFERROR(H6/G6,"n/a")</f>
        <v>1.0499894473422378</v>
      </c>
      <c r="L6" s="396" t="s">
        <v>267</v>
      </c>
    </row>
    <row r="7" spans="2:12" x14ac:dyDescent="0.3">
      <c r="B7" s="115"/>
      <c r="C7" s="102"/>
      <c r="D7" s="87"/>
      <c r="E7" s="87"/>
      <c r="F7" s="87"/>
      <c r="G7" s="307"/>
      <c r="H7" s="308"/>
      <c r="I7" s="87"/>
      <c r="J7" s="87"/>
      <c r="K7" s="87"/>
      <c r="L7" s="140"/>
    </row>
    <row r="8" spans="2:12" ht="75.599999999999994" x14ac:dyDescent="0.3">
      <c r="B8" s="17">
        <v>4301</v>
      </c>
      <c r="C8" s="56" t="s">
        <v>77</v>
      </c>
      <c r="D8" s="41">
        <v>7221</v>
      </c>
      <c r="E8" s="41">
        <v>12730</v>
      </c>
      <c r="F8" s="41">
        <v>1967</v>
      </c>
      <c r="G8" s="406">
        <v>10000</v>
      </c>
      <c r="H8" s="306">
        <v>20000</v>
      </c>
      <c r="I8" s="78">
        <f>IFERROR(G8/E8,"n/a")</f>
        <v>0.78554595443833464</v>
      </c>
      <c r="J8" s="78">
        <f>IFERROR(H8/E8,"n/a")</f>
        <v>1.5710919088766693</v>
      </c>
      <c r="K8" s="78">
        <f>IFERROR(H8/G8,"n/a")</f>
        <v>2</v>
      </c>
      <c r="L8" s="396" t="s">
        <v>266</v>
      </c>
    </row>
    <row r="9" spans="2:12" x14ac:dyDescent="0.3">
      <c r="B9" s="9"/>
      <c r="C9" s="53"/>
      <c r="D9" s="10"/>
      <c r="E9" s="10"/>
      <c r="F9" s="10"/>
      <c r="G9" s="309"/>
      <c r="H9" s="183"/>
      <c r="I9" s="10"/>
      <c r="J9" s="10"/>
      <c r="K9" s="10"/>
      <c r="L9" s="151"/>
    </row>
    <row r="10" spans="2:12" x14ac:dyDescent="0.3">
      <c r="B10" s="17">
        <v>4302</v>
      </c>
      <c r="C10" s="56" t="s">
        <v>78</v>
      </c>
      <c r="D10" s="14">
        <v>940</v>
      </c>
      <c r="E10" s="14">
        <v>2548</v>
      </c>
      <c r="F10" s="14">
        <v>1078</v>
      </c>
      <c r="G10" s="305">
        <v>2548</v>
      </c>
      <c r="H10" s="306">
        <v>2675.4</v>
      </c>
      <c r="I10" s="78">
        <f>IFERROR(G10/E10,"n/a")</f>
        <v>1</v>
      </c>
      <c r="J10" s="78">
        <f>IFERROR(H10/E10,"n/a")</f>
        <v>1.05</v>
      </c>
      <c r="K10" s="78">
        <f>IFERROR(H10/G10,"n/a")</f>
        <v>1.05</v>
      </c>
      <c r="L10" s="396" t="s">
        <v>222</v>
      </c>
    </row>
    <row r="11" spans="2:12" x14ac:dyDescent="0.3">
      <c r="B11" s="9"/>
      <c r="C11" s="53"/>
      <c r="D11" s="10"/>
      <c r="E11" s="10"/>
      <c r="F11" s="10"/>
      <c r="G11" s="309"/>
      <c r="H11" s="183"/>
      <c r="I11" s="10"/>
      <c r="J11" s="10"/>
      <c r="K11" s="10"/>
      <c r="L11" s="151"/>
    </row>
    <row r="12" spans="2:12" ht="60.6" x14ac:dyDescent="0.3">
      <c r="B12" s="17">
        <v>4303</v>
      </c>
      <c r="C12" s="56" t="s">
        <v>79</v>
      </c>
      <c r="D12" s="14">
        <v>8889</v>
      </c>
      <c r="E12" s="14">
        <v>7700</v>
      </c>
      <c r="F12" s="14">
        <v>1483</v>
      </c>
      <c r="G12" s="406">
        <v>6500</v>
      </c>
      <c r="H12" s="306">
        <v>10000</v>
      </c>
      <c r="I12" s="78">
        <f>IFERROR(G12/E12,"n/a")</f>
        <v>0.8441558441558441</v>
      </c>
      <c r="J12" s="78">
        <f>IFERROR(H12/E12,"n/a")</f>
        <v>1.2987012987012987</v>
      </c>
      <c r="K12" s="78">
        <f>IFERROR(H12/G12,"n/a")</f>
        <v>1.5384615384615385</v>
      </c>
      <c r="L12" s="396" t="s">
        <v>220</v>
      </c>
    </row>
    <row r="13" spans="2:12" x14ac:dyDescent="0.3">
      <c r="B13" s="16"/>
      <c r="C13" s="53"/>
      <c r="D13" s="517"/>
      <c r="E13" s="517"/>
      <c r="F13" s="517"/>
      <c r="G13" s="518"/>
      <c r="H13" s="519"/>
      <c r="I13" s="520"/>
      <c r="J13" s="520"/>
      <c r="K13" s="520"/>
      <c r="L13" s="397"/>
    </row>
    <row r="14" spans="2:12" x14ac:dyDescent="0.3">
      <c r="B14" s="17" t="s">
        <v>159</v>
      </c>
      <c r="C14" s="56" t="s">
        <v>278</v>
      </c>
      <c r="D14" s="14">
        <v>0</v>
      </c>
      <c r="E14" s="14">
        <v>0</v>
      </c>
      <c r="F14" s="14">
        <v>0</v>
      </c>
      <c r="G14" s="406">
        <v>650</v>
      </c>
      <c r="H14" s="306">
        <v>682.5</v>
      </c>
      <c r="I14" s="78" t="str">
        <f>IFERROR(G14/E14,"n/a")</f>
        <v>n/a</v>
      </c>
      <c r="J14" s="78" t="str">
        <f>IFERROR(H14/E14,"n/a")</f>
        <v>n/a</v>
      </c>
      <c r="K14" s="78">
        <f>IFERROR(H14/G14,"n/a")</f>
        <v>1.05</v>
      </c>
      <c r="L14" s="396" t="s">
        <v>279</v>
      </c>
    </row>
    <row r="15" spans="2:12" x14ac:dyDescent="0.3">
      <c r="B15" s="9"/>
      <c r="C15" s="53"/>
      <c r="D15" s="10"/>
      <c r="E15" s="10"/>
      <c r="F15" s="10"/>
      <c r="G15" s="309"/>
      <c r="H15" s="183"/>
      <c r="I15" s="10"/>
      <c r="J15" s="10"/>
      <c r="K15" s="10"/>
      <c r="L15" s="151"/>
    </row>
    <row r="16" spans="2:12" ht="28.2" customHeight="1" x14ac:dyDescent="0.3">
      <c r="B16" s="17">
        <v>4320</v>
      </c>
      <c r="C16" s="57" t="s">
        <v>80</v>
      </c>
      <c r="D16" s="86">
        <v>2701</v>
      </c>
      <c r="E16" s="86">
        <v>2701</v>
      </c>
      <c r="F16" s="86">
        <v>2701</v>
      </c>
      <c r="G16" s="305">
        <v>2701</v>
      </c>
      <c r="H16" s="306">
        <v>2701</v>
      </c>
      <c r="I16" s="78">
        <f>IFERROR(G16/E16,"n/a")</f>
        <v>1</v>
      </c>
      <c r="J16" s="78">
        <f>IFERROR(H16/E16,"n/a")</f>
        <v>1</v>
      </c>
      <c r="K16" s="78">
        <f>IFERROR(H16/G16,"n/a")</f>
        <v>1</v>
      </c>
      <c r="L16" s="396" t="s">
        <v>81</v>
      </c>
    </row>
    <row r="17" spans="2:12" x14ac:dyDescent="0.3">
      <c r="B17" s="9"/>
      <c r="C17" s="54"/>
      <c r="D17" s="10"/>
      <c r="E17" s="10"/>
      <c r="F17" s="10"/>
      <c r="G17" s="309"/>
      <c r="H17" s="183"/>
      <c r="I17" s="10"/>
      <c r="J17" s="10"/>
      <c r="K17" s="10"/>
      <c r="L17" s="151"/>
    </row>
    <row r="18" spans="2:12" ht="59.4" customHeight="1" x14ac:dyDescent="0.3">
      <c r="B18" s="17">
        <v>4200</v>
      </c>
      <c r="C18" s="57" t="s">
        <v>82</v>
      </c>
      <c r="D18" s="14">
        <v>931</v>
      </c>
      <c r="E18" s="14">
        <v>2640</v>
      </c>
      <c r="F18" s="14">
        <v>359</v>
      </c>
      <c r="G18" s="305">
        <v>1890</v>
      </c>
      <c r="H18" s="306">
        <v>2772</v>
      </c>
      <c r="I18" s="78">
        <f>IFERROR(G18/E18,"n/a")</f>
        <v>0.71590909090909094</v>
      </c>
      <c r="J18" s="78">
        <f>IFERROR(H18/E18,"n/a")</f>
        <v>1.05</v>
      </c>
      <c r="K18" s="78">
        <f>IFERROR(H18/G18,"n/a")</f>
        <v>1.4666666666666666</v>
      </c>
      <c r="L18" s="396" t="s">
        <v>236</v>
      </c>
    </row>
    <row r="19" spans="2:12" x14ac:dyDescent="0.3">
      <c r="B19" s="9"/>
      <c r="C19" s="54"/>
      <c r="D19" s="10"/>
      <c r="E19" s="10"/>
      <c r="F19" s="10"/>
      <c r="G19" s="309"/>
      <c r="H19" s="183"/>
      <c r="I19" s="10"/>
      <c r="J19" s="10"/>
      <c r="K19" s="10"/>
      <c r="L19" s="151"/>
    </row>
    <row r="20" spans="2:12" x14ac:dyDescent="0.3">
      <c r="B20" s="17">
        <v>4201</v>
      </c>
      <c r="C20" s="57" t="s">
        <v>83</v>
      </c>
      <c r="D20" s="14">
        <v>0</v>
      </c>
      <c r="E20" s="14">
        <v>1000</v>
      </c>
      <c r="F20" s="14">
        <v>0</v>
      </c>
      <c r="G20" s="305">
        <v>1500</v>
      </c>
      <c r="H20" s="306">
        <v>1000</v>
      </c>
      <c r="I20" s="78">
        <f>IFERROR(G20/E20,"n/a")</f>
        <v>1.5</v>
      </c>
      <c r="J20" s="78">
        <f>IFERROR(H20/E20,"n/a")</f>
        <v>1</v>
      </c>
      <c r="K20" s="78">
        <f>IFERROR(H20/G20,"n/a")</f>
        <v>0.66666666666666663</v>
      </c>
      <c r="L20" s="396" t="s">
        <v>221</v>
      </c>
    </row>
    <row r="21" spans="2:12" x14ac:dyDescent="0.3">
      <c r="B21" s="9"/>
      <c r="C21" s="54"/>
      <c r="D21" s="10"/>
      <c r="E21" s="10"/>
      <c r="F21" s="10"/>
      <c r="G21" s="309"/>
      <c r="H21" s="183"/>
      <c r="I21" s="10"/>
      <c r="J21" s="10"/>
      <c r="K21" s="10"/>
      <c r="L21" s="151"/>
    </row>
    <row r="22" spans="2:12" x14ac:dyDescent="0.3">
      <c r="B22" s="17">
        <v>4202</v>
      </c>
      <c r="C22" s="57" t="s">
        <v>84</v>
      </c>
      <c r="D22" s="14">
        <v>313</v>
      </c>
      <c r="E22" s="14">
        <v>250</v>
      </c>
      <c r="F22" s="14">
        <v>125</v>
      </c>
      <c r="G22" s="305">
        <v>250</v>
      </c>
      <c r="H22" s="306">
        <v>250</v>
      </c>
      <c r="I22" s="78">
        <f>IFERROR(G22/E22,"n/a")</f>
        <v>1</v>
      </c>
      <c r="J22" s="78">
        <f>IFERROR(H22/E22,"n/a")</f>
        <v>1</v>
      </c>
      <c r="K22" s="78">
        <f>IFERROR(H22/G22,"n/a")</f>
        <v>1</v>
      </c>
      <c r="L22" s="152"/>
    </row>
    <row r="23" spans="2:12" x14ac:dyDescent="0.3">
      <c r="B23" s="119"/>
      <c r="C23" s="116"/>
      <c r="D23" s="117"/>
      <c r="E23" s="117"/>
      <c r="F23" s="117"/>
      <c r="G23" s="310"/>
      <c r="H23" s="311"/>
      <c r="I23" s="118"/>
      <c r="J23" s="118"/>
      <c r="K23" s="118"/>
      <c r="L23" s="140"/>
    </row>
    <row r="24" spans="2:12" ht="45.6" x14ac:dyDescent="0.3">
      <c r="B24" s="43">
        <v>4309</v>
      </c>
      <c r="C24" s="138" t="s">
        <v>85</v>
      </c>
      <c r="D24" s="86">
        <v>94</v>
      </c>
      <c r="E24" s="86">
        <v>210</v>
      </c>
      <c r="F24" s="86">
        <v>95</v>
      </c>
      <c r="G24" s="305">
        <v>164</v>
      </c>
      <c r="H24" s="306">
        <v>220.5</v>
      </c>
      <c r="I24" s="78">
        <f>IFERROR(G24/E24,"n/a")</f>
        <v>0.78095238095238095</v>
      </c>
      <c r="J24" s="78">
        <f>IFERROR(H24/E24,"n/a")</f>
        <v>1.05</v>
      </c>
      <c r="K24" s="78">
        <f>IFERROR(H24/G24,"n/a")</f>
        <v>1.3445121951219512</v>
      </c>
      <c r="L24" s="396" t="s">
        <v>223</v>
      </c>
    </row>
    <row r="25" spans="2:12" x14ac:dyDescent="0.3">
      <c r="B25" s="9"/>
      <c r="C25" s="53"/>
      <c r="D25" s="18"/>
      <c r="E25" s="1"/>
      <c r="F25" s="1"/>
      <c r="G25" s="309"/>
      <c r="H25" s="183"/>
      <c r="I25" s="10"/>
      <c r="J25" s="10"/>
      <c r="K25" s="10"/>
      <c r="L25" s="151"/>
    </row>
    <row r="26" spans="2:12" ht="31.95" customHeight="1" thickBot="1" x14ac:dyDescent="0.35">
      <c r="B26" s="11"/>
      <c r="C26" s="55" t="s">
        <v>109</v>
      </c>
      <c r="D26" s="12">
        <f>SUM(D5:D25)</f>
        <v>24575</v>
      </c>
      <c r="E26" s="12">
        <f>SUM(E5:E25)</f>
        <v>34179</v>
      </c>
      <c r="F26" s="12">
        <f>SUM(F5:F25)</f>
        <v>9088</v>
      </c>
      <c r="G26" s="312">
        <f>SUM(G5:G25)</f>
        <v>30183.040000000001</v>
      </c>
      <c r="H26" s="313">
        <f>SUM(H5:H25)</f>
        <v>44480.4</v>
      </c>
      <c r="I26" s="20">
        <f>IFERROR(G26/E26,"n/a")</f>
        <v>0.88308727581263347</v>
      </c>
      <c r="J26" s="20">
        <f>IFERROR(H26/E26,"n/a")</f>
        <v>1.3013955937856578</v>
      </c>
      <c r="K26" s="20">
        <f>IFERROR(H26/G26,"n/a")</f>
        <v>1.4736885350183415</v>
      </c>
      <c r="L26" s="153"/>
    </row>
    <row r="27" spans="2:12" ht="15.6" customHeight="1" x14ac:dyDescent="0.3">
      <c r="B27" s="491"/>
      <c r="C27" s="53"/>
      <c r="D27" s="18"/>
      <c r="E27" s="92"/>
      <c r="F27" s="92"/>
      <c r="G27" s="504"/>
      <c r="H27" s="183"/>
      <c r="I27" s="112"/>
      <c r="J27" s="112"/>
      <c r="K27" s="112"/>
      <c r="L27" s="503"/>
    </row>
    <row r="28" spans="2:12" ht="30.6" x14ac:dyDescent="0.3">
      <c r="B28" s="491">
        <v>4210</v>
      </c>
      <c r="C28" s="53" t="s">
        <v>112</v>
      </c>
      <c r="D28" s="18">
        <v>0</v>
      </c>
      <c r="E28" s="92">
        <v>0</v>
      </c>
      <c r="F28" s="92">
        <v>0</v>
      </c>
      <c r="G28" s="504">
        <v>6770</v>
      </c>
      <c r="H28" s="183">
        <v>33785</v>
      </c>
      <c r="I28" s="112" t="str">
        <f>IFERROR(G28/E28,"n/a")</f>
        <v>n/a</v>
      </c>
      <c r="J28" s="112" t="str">
        <f>IFERROR(H28/E28,"n/a")</f>
        <v>n/a</v>
      </c>
      <c r="K28" s="112">
        <f>IFERROR(H28/G28,"n/a")</f>
        <v>4.9903988183161001</v>
      </c>
      <c r="L28" s="397" t="s">
        <v>298</v>
      </c>
    </row>
    <row r="29" spans="2:12" x14ac:dyDescent="0.3">
      <c r="B29" s="501"/>
      <c r="C29" s="196"/>
      <c r="D29" s="18"/>
      <c r="E29" s="92"/>
      <c r="F29" s="92"/>
      <c r="G29" s="504"/>
      <c r="H29" s="183"/>
      <c r="I29" s="112"/>
      <c r="J29" s="112"/>
      <c r="K29" s="112"/>
      <c r="L29" s="503"/>
    </row>
    <row r="30" spans="2:12" ht="30.6" x14ac:dyDescent="0.3">
      <c r="B30" s="501">
        <v>4301</v>
      </c>
      <c r="C30" s="196" t="s">
        <v>113</v>
      </c>
      <c r="D30" s="18">
        <v>998</v>
      </c>
      <c r="E30" s="92">
        <v>0</v>
      </c>
      <c r="F30" s="92">
        <v>0</v>
      </c>
      <c r="G30" s="504">
        <v>0</v>
      </c>
      <c r="H30" s="183">
        <v>1000</v>
      </c>
      <c r="I30" s="112" t="str">
        <f>IFERROR(G30/E30,"n/a")</f>
        <v>n/a</v>
      </c>
      <c r="J30" s="112" t="str">
        <f>IFERROR(H30/E30,"n/a")</f>
        <v>n/a</v>
      </c>
      <c r="K30" s="112" t="str">
        <f>IFERROR(H30/G30,"n/a")</f>
        <v>n/a</v>
      </c>
      <c r="L30" s="397" t="s">
        <v>297</v>
      </c>
    </row>
    <row r="31" spans="2:12" x14ac:dyDescent="0.3">
      <c r="B31" s="491"/>
      <c r="C31" s="53"/>
      <c r="D31" s="18"/>
      <c r="E31" s="92"/>
      <c r="F31" s="92"/>
      <c r="G31" s="504"/>
      <c r="H31" s="183"/>
      <c r="I31" s="112"/>
      <c r="J31" s="112"/>
      <c r="K31" s="112"/>
      <c r="L31" s="503"/>
    </row>
    <row r="32" spans="2:12" s="249" customFormat="1" x14ac:dyDescent="0.3">
      <c r="B32" s="203">
        <v>4303</v>
      </c>
      <c r="C32" s="198" t="s">
        <v>114</v>
      </c>
      <c r="D32" s="199">
        <v>4974.63</v>
      </c>
      <c r="E32" s="530">
        <v>0</v>
      </c>
      <c r="F32" s="530">
        <v>0</v>
      </c>
      <c r="G32" s="530">
        <v>0</v>
      </c>
      <c r="H32" s="530">
        <v>0</v>
      </c>
      <c r="I32" s="202" t="str">
        <f>IFERROR(G32/E32,"n/a")</f>
        <v>n/a</v>
      </c>
      <c r="J32" s="202" t="str">
        <f>IFERROR(H32/E32,"n/a")</f>
        <v>n/a</v>
      </c>
      <c r="K32" s="202" t="str">
        <f>IFERROR(H32/G32,"n/a")</f>
        <v>n/a</v>
      </c>
      <c r="L32" s="531" t="s">
        <v>202</v>
      </c>
    </row>
    <row r="33" spans="2:12" x14ac:dyDescent="0.3">
      <c r="B33" s="501"/>
      <c r="C33" s="196"/>
      <c r="D33" s="18"/>
      <c r="E33" s="493"/>
      <c r="F33" s="493"/>
      <c r="G33" s="504"/>
      <c r="H33" s="183"/>
      <c r="I33" s="112"/>
      <c r="J33" s="112"/>
      <c r="K33" s="112"/>
      <c r="L33" s="397"/>
    </row>
    <row r="34" spans="2:12" ht="75.599999999999994" x14ac:dyDescent="0.3">
      <c r="B34" s="501">
        <v>4306</v>
      </c>
      <c r="C34" s="196" t="s">
        <v>131</v>
      </c>
      <c r="D34" s="18">
        <v>0</v>
      </c>
      <c r="E34" s="493">
        <v>0</v>
      </c>
      <c r="F34" s="493">
        <v>0</v>
      </c>
      <c r="G34" s="504">
        <v>0</v>
      </c>
      <c r="H34" s="183">
        <v>0</v>
      </c>
      <c r="I34" s="112" t="str">
        <f>IFERROR(G34/E34,"n/a")</f>
        <v>n/a</v>
      </c>
      <c r="J34" s="112" t="str">
        <f>IFERROR(H34/E34,"n/a")</f>
        <v>n/a</v>
      </c>
      <c r="K34" s="112" t="str">
        <f>IFERROR(H34/G34,"n/a")</f>
        <v>n/a</v>
      </c>
      <c r="L34" s="397" t="s">
        <v>290</v>
      </c>
    </row>
    <row r="35" spans="2:12" x14ac:dyDescent="0.3">
      <c r="B35" s="501"/>
      <c r="C35" s="196"/>
      <c r="D35" s="18"/>
      <c r="E35" s="92"/>
      <c r="F35" s="92"/>
      <c r="G35" s="504"/>
      <c r="H35" s="183"/>
      <c r="I35" s="112"/>
      <c r="J35" s="112"/>
      <c r="K35" s="112"/>
      <c r="L35" s="397"/>
    </row>
    <row r="36" spans="2:12" x14ac:dyDescent="0.3">
      <c r="B36" s="494"/>
      <c r="C36" s="495" t="s">
        <v>106</v>
      </c>
      <c r="D36" s="496">
        <f>SUM(D28:D35)</f>
        <v>5972.63</v>
      </c>
      <c r="E36" s="483">
        <f t="shared" ref="E36:H36" si="0">SUM(E28:E35)</f>
        <v>0</v>
      </c>
      <c r="F36" s="483">
        <f t="shared" ref="F36" si="1">SUM(F28:F35)</f>
        <v>0</v>
      </c>
      <c r="G36" s="505">
        <f t="shared" si="0"/>
        <v>6770</v>
      </c>
      <c r="H36" s="507">
        <f t="shared" si="0"/>
        <v>34785</v>
      </c>
      <c r="I36" s="497" t="str">
        <f>IFERROR(G36/E36,"n/a")</f>
        <v>n/a</v>
      </c>
      <c r="J36" s="497" t="str">
        <f>IFERROR(H36/E36,"n/a")</f>
        <v>n/a</v>
      </c>
      <c r="K36" s="497">
        <f>IFERROR(H36/G36,"n/a")</f>
        <v>5.1381093057607092</v>
      </c>
      <c r="L36" s="498"/>
    </row>
    <row r="37" spans="2:12" x14ac:dyDescent="0.3">
      <c r="B37" s="502"/>
      <c r="C37" s="196"/>
      <c r="D37" s="18"/>
      <c r="E37" s="92"/>
      <c r="F37" s="92"/>
      <c r="G37" s="504"/>
      <c r="H37" s="183"/>
      <c r="I37" s="112"/>
      <c r="J37" s="181"/>
      <c r="K37" s="181"/>
      <c r="L37" s="133"/>
    </row>
    <row r="38" spans="2:12" ht="31.8" thickBot="1" x14ac:dyDescent="0.35">
      <c r="B38" s="499"/>
      <c r="C38" s="62" t="s">
        <v>111</v>
      </c>
      <c r="D38" s="21">
        <f>D26+D36</f>
        <v>30547.63</v>
      </c>
      <c r="E38" s="21">
        <f t="shared" ref="E38:H38" si="2">E26+E36</f>
        <v>34179</v>
      </c>
      <c r="F38" s="21">
        <f t="shared" ref="F38" si="3">F26+F36</f>
        <v>9088</v>
      </c>
      <c r="G38" s="506">
        <f t="shared" si="2"/>
        <v>36953.040000000001</v>
      </c>
      <c r="H38" s="508">
        <f t="shared" si="2"/>
        <v>79265.399999999994</v>
      </c>
      <c r="I38" s="182">
        <f>IFERROR(G38/E38,"n/a")</f>
        <v>1.081162117089441</v>
      </c>
      <c r="J38" s="182">
        <f>IFERROR(H38/E38,"n/a")</f>
        <v>2.3191257789870972</v>
      </c>
      <c r="K38" s="182">
        <f>IFERROR(H38/G38,"n/a")</f>
        <v>2.1450305577024245</v>
      </c>
      <c r="L38" s="487"/>
    </row>
    <row r="39" spans="2:12" x14ac:dyDescent="0.3">
      <c r="L39" s="315"/>
    </row>
    <row r="40" spans="2:12" x14ac:dyDescent="0.3">
      <c r="L40" s="315"/>
    </row>
    <row r="41" spans="2:12" x14ac:dyDescent="0.3">
      <c r="L41" s="315"/>
    </row>
    <row r="42" spans="2:12" x14ac:dyDescent="0.3">
      <c r="L42" s="315"/>
    </row>
  </sheetData>
  <phoneticPr fontId="10" type="noConversion"/>
  <pageMargins left="0.75000000000000011" right="0.75000000000000011" top="1" bottom="1" header="0.5" footer="0.5"/>
  <pageSetup paperSize="9" scale="4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46"/>
  <sheetViews>
    <sheetView topLeftCell="A37" workbookViewId="0">
      <selection activeCell="H26" sqref="H26"/>
    </sheetView>
  </sheetViews>
  <sheetFormatPr defaultColWidth="11.19921875" defaultRowHeight="15.6" x14ac:dyDescent="0.3"/>
  <cols>
    <col min="1" max="1" width="4.19921875" customWidth="1"/>
    <col min="2" max="2" width="10.69921875" customWidth="1"/>
    <col min="3" max="3" width="35" customWidth="1"/>
    <col min="4" max="11" width="13.5" customWidth="1"/>
    <col min="12" max="12" width="61.5" customWidth="1"/>
  </cols>
  <sheetData>
    <row r="1" spans="2:12" ht="16.2" thickBot="1" x14ac:dyDescent="0.35"/>
    <row r="2" spans="2:12" ht="21" x14ac:dyDescent="0.3">
      <c r="B2" s="316" t="s">
        <v>98</v>
      </c>
      <c r="C2" s="317"/>
      <c r="D2" s="318"/>
      <c r="E2" s="319"/>
      <c r="F2" s="319"/>
      <c r="G2" s="320"/>
      <c r="H2" s="321"/>
      <c r="I2" s="321"/>
      <c r="J2" s="321"/>
      <c r="K2" s="321"/>
      <c r="L2" s="322"/>
    </row>
    <row r="3" spans="2:12" ht="21" x14ac:dyDescent="0.3">
      <c r="B3" s="323" t="s">
        <v>86</v>
      </c>
      <c r="C3" s="324"/>
      <c r="D3" s="325"/>
      <c r="E3" s="326"/>
      <c r="F3" s="326"/>
      <c r="G3" s="327"/>
      <c r="H3" s="328"/>
      <c r="I3" s="329"/>
      <c r="J3" s="329"/>
      <c r="K3" s="329"/>
      <c r="L3" s="330"/>
    </row>
    <row r="4" spans="2:12" ht="63" thickBot="1" x14ac:dyDescent="0.35">
      <c r="B4" s="297" t="s">
        <v>33</v>
      </c>
      <c r="C4" s="298" t="s">
        <v>34</v>
      </c>
      <c r="D4" s="285" t="s">
        <v>196</v>
      </c>
      <c r="E4" s="285" t="s">
        <v>99</v>
      </c>
      <c r="F4" s="285" t="s">
        <v>269</v>
      </c>
      <c r="G4" s="303" t="s">
        <v>197</v>
      </c>
      <c r="H4" s="303" t="s">
        <v>198</v>
      </c>
      <c r="I4" s="286" t="s">
        <v>199</v>
      </c>
      <c r="J4" s="285" t="s">
        <v>200</v>
      </c>
      <c r="K4" s="285" t="s">
        <v>201</v>
      </c>
      <c r="L4" s="299" t="s">
        <v>237</v>
      </c>
    </row>
    <row r="5" spans="2:12" x14ac:dyDescent="0.3">
      <c r="B5" s="22"/>
      <c r="C5" s="52"/>
      <c r="D5" s="2"/>
      <c r="E5" s="3"/>
      <c r="F5" s="3"/>
      <c r="G5" s="159"/>
      <c r="H5" s="156"/>
      <c r="I5" s="27"/>
      <c r="J5" s="27"/>
      <c r="K5" s="27"/>
      <c r="L5" s="137"/>
    </row>
    <row r="6" spans="2:12" ht="111" x14ac:dyDescent="0.3">
      <c r="B6" s="29">
        <v>4350</v>
      </c>
      <c r="C6" s="52" t="s">
        <v>21</v>
      </c>
      <c r="D6" s="3">
        <v>0</v>
      </c>
      <c r="E6" s="3">
        <v>15000</v>
      </c>
      <c r="F6" s="3">
        <v>23</v>
      </c>
      <c r="G6" s="159">
        <v>12000</v>
      </c>
      <c r="H6" s="188">
        <v>12000</v>
      </c>
      <c r="I6" s="27">
        <f t="shared" ref="I6" si="0">IFERROR(G6/E6,"n/a")</f>
        <v>0.8</v>
      </c>
      <c r="J6" s="27">
        <f t="shared" ref="J6" si="1">IFERROR(H6/E6,"n/a")</f>
        <v>0.8</v>
      </c>
      <c r="K6" s="27">
        <f>IFERROR(H6/G6,"n/a")</f>
        <v>1</v>
      </c>
      <c r="L6" s="395" t="s">
        <v>283</v>
      </c>
    </row>
    <row r="7" spans="2:12" x14ac:dyDescent="0.3">
      <c r="B7" s="13"/>
      <c r="C7" s="52"/>
      <c r="D7" s="2"/>
      <c r="E7" s="3"/>
      <c r="F7" s="3"/>
      <c r="G7" s="159"/>
      <c r="H7" s="156"/>
      <c r="I7" s="27"/>
      <c r="J7" s="27"/>
      <c r="K7" s="27"/>
      <c r="L7" s="242"/>
    </row>
    <row r="8" spans="2:12" x14ac:dyDescent="0.3">
      <c r="B8" s="43">
        <v>4350</v>
      </c>
      <c r="C8" s="84" t="s">
        <v>87</v>
      </c>
      <c r="D8" s="77">
        <v>0</v>
      </c>
      <c r="E8" s="41">
        <v>0</v>
      </c>
      <c r="F8" s="41">
        <v>0</v>
      </c>
      <c r="G8" s="158">
        <v>0</v>
      </c>
      <c r="H8" s="155">
        <v>0</v>
      </c>
      <c r="I8" s="78" t="str">
        <f>IFERROR(G8/E8,"n/a")</f>
        <v>n/a</v>
      </c>
      <c r="J8" s="78" t="str">
        <f>IFERROR(H8/E8,"n/a")</f>
        <v>n/a</v>
      </c>
      <c r="K8" s="78" t="str">
        <f>IFERROR(H8/G8,"n/a")</f>
        <v>n/a</v>
      </c>
      <c r="L8" s="243"/>
    </row>
    <row r="9" spans="2:12" x14ac:dyDescent="0.3">
      <c r="B9" s="13"/>
      <c r="C9" s="52"/>
      <c r="D9" s="3"/>
      <c r="E9" s="10"/>
      <c r="F9" s="10"/>
      <c r="G9" s="159"/>
      <c r="H9" s="156"/>
      <c r="I9" s="27"/>
      <c r="J9" s="27"/>
      <c r="K9" s="27"/>
      <c r="L9" s="242"/>
    </row>
    <row r="10" spans="2:12" x14ac:dyDescent="0.3">
      <c r="B10" s="13"/>
      <c r="C10" s="52"/>
      <c r="D10" s="3">
        <v>0</v>
      </c>
      <c r="E10" s="3">
        <v>0</v>
      </c>
      <c r="F10" s="3">
        <v>0</v>
      </c>
      <c r="G10" s="159">
        <v>0</v>
      </c>
      <c r="H10" s="122">
        <v>0</v>
      </c>
      <c r="I10" s="27" t="str">
        <f t="shared" ref="I10:I28" si="2">IFERROR(G10/E10,"n/a")</f>
        <v>n/a</v>
      </c>
      <c r="J10" s="27" t="str">
        <f t="shared" ref="J10:J28" si="3">IFERROR(H10/E10,"n/a")</f>
        <v>n/a</v>
      </c>
      <c r="K10" s="27" t="str">
        <f>IFERROR(H10/G10,"n/a")</f>
        <v>n/a</v>
      </c>
      <c r="L10" s="242"/>
    </row>
    <row r="11" spans="2:12" x14ac:dyDescent="0.3">
      <c r="B11" s="13"/>
      <c r="C11" s="52"/>
      <c r="D11" s="3">
        <v>0</v>
      </c>
      <c r="E11" s="3">
        <v>0</v>
      </c>
      <c r="F11" s="3">
        <v>0</v>
      </c>
      <c r="G11" s="159">
        <v>0</v>
      </c>
      <c r="H11" s="122">
        <v>0</v>
      </c>
      <c r="I11" s="27" t="str">
        <f t="shared" si="2"/>
        <v>n/a</v>
      </c>
      <c r="J11" s="27" t="str">
        <f t="shared" si="3"/>
        <v>n/a</v>
      </c>
      <c r="K11" s="27" t="str">
        <f>IFERROR(H11/G11,"n/a")</f>
        <v>n/a</v>
      </c>
      <c r="L11" s="242"/>
    </row>
    <row r="12" spans="2:12" x14ac:dyDescent="0.3">
      <c r="B12" s="13"/>
      <c r="C12" s="52"/>
      <c r="D12" s="3">
        <v>0</v>
      </c>
      <c r="E12" s="3">
        <v>0</v>
      </c>
      <c r="F12" s="3">
        <v>0</v>
      </c>
      <c r="G12" s="159">
        <v>0</v>
      </c>
      <c r="H12" s="122">
        <v>0</v>
      </c>
      <c r="I12" s="27" t="str">
        <f t="shared" si="2"/>
        <v>n/a</v>
      </c>
      <c r="J12" s="27" t="str">
        <f t="shared" si="3"/>
        <v>n/a</v>
      </c>
      <c r="K12" s="27" t="str">
        <f>IFERROR(H12/G12,"n/a")</f>
        <v>n/a</v>
      </c>
      <c r="L12" s="241"/>
    </row>
    <row r="13" spans="2:12" x14ac:dyDescent="0.3">
      <c r="B13" s="13"/>
      <c r="C13" s="52"/>
      <c r="D13" s="2">
        <v>0</v>
      </c>
      <c r="E13" s="10">
        <v>0</v>
      </c>
      <c r="F13" s="10">
        <v>0</v>
      </c>
      <c r="G13" s="159">
        <v>0</v>
      </c>
      <c r="H13" s="156">
        <v>0</v>
      </c>
      <c r="I13" s="27" t="str">
        <f t="shared" si="2"/>
        <v>n/a</v>
      </c>
      <c r="J13" s="27" t="str">
        <f t="shared" si="3"/>
        <v>n/a</v>
      </c>
      <c r="K13" s="27" t="str">
        <f>IFERROR(H13/G13,"n/a")</f>
        <v>n/a</v>
      </c>
      <c r="L13" s="241"/>
    </row>
    <row r="14" spans="2:12" x14ac:dyDescent="0.3">
      <c r="B14" s="81">
        <v>4351</v>
      </c>
      <c r="C14" s="83" t="s">
        <v>88</v>
      </c>
      <c r="D14" s="82">
        <f>SUM(D10:D13)</f>
        <v>0</v>
      </c>
      <c r="E14" s="82">
        <v>0</v>
      </c>
      <c r="F14" s="82">
        <v>0</v>
      </c>
      <c r="G14" s="164">
        <f>SUM(G10:G13)</f>
        <v>0</v>
      </c>
      <c r="H14" s="168">
        <v>0</v>
      </c>
      <c r="I14" s="80" t="str">
        <f t="shared" si="2"/>
        <v>n/a</v>
      </c>
      <c r="J14" s="80" t="str">
        <f t="shared" si="3"/>
        <v>n/a</v>
      </c>
      <c r="K14" s="80" t="str">
        <f>IFERROR(H14/G14,"n/a")</f>
        <v>n/a</v>
      </c>
      <c r="L14" s="244"/>
    </row>
    <row r="15" spans="2:12" x14ac:dyDescent="0.3">
      <c r="B15" s="13"/>
      <c r="C15" s="52"/>
      <c r="D15" s="2"/>
      <c r="E15" s="3"/>
      <c r="F15" s="3"/>
      <c r="G15" s="159"/>
      <c r="H15" s="156"/>
      <c r="I15" s="27"/>
      <c r="J15" s="27"/>
      <c r="K15" s="27"/>
      <c r="L15" s="242"/>
    </row>
    <row r="16" spans="2:12" x14ac:dyDescent="0.3">
      <c r="B16" s="43">
        <v>4352</v>
      </c>
      <c r="C16" s="76" t="s">
        <v>89</v>
      </c>
      <c r="D16" s="77">
        <v>7399</v>
      </c>
      <c r="E16" s="77">
        <v>0</v>
      </c>
      <c r="F16" s="77">
        <v>0</v>
      </c>
      <c r="G16" s="158">
        <v>0</v>
      </c>
      <c r="H16" s="155">
        <v>0</v>
      </c>
      <c r="I16" s="78" t="str">
        <f t="shared" si="2"/>
        <v>n/a</v>
      </c>
      <c r="J16" s="78" t="str">
        <f t="shared" si="3"/>
        <v>n/a</v>
      </c>
      <c r="K16" s="78" t="str">
        <f>IFERROR(H16/G16,"n/a")</f>
        <v>n/a</v>
      </c>
      <c r="L16" s="241"/>
    </row>
    <row r="17" spans="2:12" x14ac:dyDescent="0.3">
      <c r="B17" s="13"/>
      <c r="C17" s="52"/>
      <c r="D17" s="3"/>
      <c r="E17" s="3"/>
      <c r="F17" s="3"/>
      <c r="G17" s="159"/>
      <c r="H17" s="156"/>
      <c r="I17" s="27"/>
      <c r="J17" s="27"/>
      <c r="K17" s="27"/>
      <c r="L17" s="245"/>
    </row>
    <row r="18" spans="2:12" x14ac:dyDescent="0.3">
      <c r="B18" s="13"/>
      <c r="C18" s="52" t="s">
        <v>204</v>
      </c>
      <c r="D18" s="3">
        <v>730</v>
      </c>
      <c r="E18" s="10">
        <v>0</v>
      </c>
      <c r="F18" s="10">
        <v>0</v>
      </c>
      <c r="G18" s="159">
        <v>0</v>
      </c>
      <c r="H18" s="156">
        <v>500</v>
      </c>
      <c r="I18" s="27" t="str">
        <f t="shared" si="2"/>
        <v>n/a</v>
      </c>
      <c r="J18" s="27" t="str">
        <f t="shared" si="3"/>
        <v>n/a</v>
      </c>
      <c r="K18" s="27" t="str">
        <f t="shared" ref="K18:K28" si="4">IFERROR(H18/G18,"n/a")</f>
        <v>n/a</v>
      </c>
      <c r="L18" s="509" t="s">
        <v>281</v>
      </c>
    </row>
    <row r="19" spans="2:12" ht="28.2" x14ac:dyDescent="0.3">
      <c r="B19" s="13">
        <v>4354</v>
      </c>
      <c r="C19" s="52" t="s">
        <v>203</v>
      </c>
      <c r="D19" s="3">
        <v>57</v>
      </c>
      <c r="E19" s="10">
        <v>0</v>
      </c>
      <c r="F19" s="10">
        <v>0</v>
      </c>
      <c r="G19" s="159">
        <v>0</v>
      </c>
      <c r="H19" s="156">
        <v>1750</v>
      </c>
      <c r="I19" s="27" t="str">
        <f t="shared" si="2"/>
        <v>n/a</v>
      </c>
      <c r="J19" s="27" t="str">
        <f t="shared" si="3"/>
        <v>n/a</v>
      </c>
      <c r="K19" s="27" t="str">
        <f t="shared" si="4"/>
        <v>n/a</v>
      </c>
      <c r="L19" s="395" t="s">
        <v>280</v>
      </c>
    </row>
    <row r="20" spans="2:12" x14ac:dyDescent="0.3">
      <c r="B20" s="13"/>
      <c r="C20" s="65"/>
      <c r="D20" s="3">
        <v>0</v>
      </c>
      <c r="E20" s="10">
        <v>0</v>
      </c>
      <c r="F20" s="10">
        <v>0</v>
      </c>
      <c r="G20" s="159">
        <v>0</v>
      </c>
      <c r="H20" s="156">
        <v>0</v>
      </c>
      <c r="I20" s="27" t="str">
        <f t="shared" si="2"/>
        <v>n/a</v>
      </c>
      <c r="J20" s="27" t="str">
        <f t="shared" si="3"/>
        <v>n/a</v>
      </c>
      <c r="K20" s="27" t="str">
        <f t="shared" si="4"/>
        <v>n/a</v>
      </c>
      <c r="L20" s="242"/>
    </row>
    <row r="21" spans="2:12" x14ac:dyDescent="0.3">
      <c r="B21" s="13"/>
      <c r="C21" s="65"/>
      <c r="D21" s="3">
        <v>0</v>
      </c>
      <c r="E21" s="92">
        <v>0</v>
      </c>
      <c r="F21" s="92">
        <v>0</v>
      </c>
      <c r="G21" s="159"/>
      <c r="H21" s="156">
        <v>0</v>
      </c>
      <c r="I21" s="27" t="str">
        <f t="shared" si="2"/>
        <v>n/a</v>
      </c>
      <c r="J21" s="27" t="str">
        <f t="shared" si="3"/>
        <v>n/a</v>
      </c>
      <c r="K21" s="27" t="str">
        <f t="shared" si="4"/>
        <v>n/a</v>
      </c>
      <c r="L21" s="242"/>
    </row>
    <row r="22" spans="2:12" x14ac:dyDescent="0.3">
      <c r="B22" s="13"/>
      <c r="C22" s="65"/>
      <c r="D22" s="3"/>
      <c r="E22" s="10"/>
      <c r="F22" s="10"/>
      <c r="G22" s="159">
        <v>0</v>
      </c>
      <c r="H22" s="156">
        <v>0</v>
      </c>
      <c r="I22" s="27" t="str">
        <f t="shared" si="2"/>
        <v>n/a</v>
      </c>
      <c r="J22" s="27" t="str">
        <f t="shared" si="3"/>
        <v>n/a</v>
      </c>
      <c r="K22" s="27" t="str">
        <f t="shared" si="4"/>
        <v>n/a</v>
      </c>
      <c r="L22" s="242"/>
    </row>
    <row r="23" spans="2:12" x14ac:dyDescent="0.3">
      <c r="B23" s="81">
        <v>4353</v>
      </c>
      <c r="C23" s="83" t="s">
        <v>90</v>
      </c>
      <c r="D23" s="82">
        <f>SUM(D18:D22)</f>
        <v>787</v>
      </c>
      <c r="E23" s="82">
        <f>SUM(E18:E22)</f>
        <v>0</v>
      </c>
      <c r="F23" s="82">
        <f>SUM(F18:F22)</f>
        <v>0</v>
      </c>
      <c r="G23" s="164">
        <f>SUM(G18:G22)</f>
        <v>0</v>
      </c>
      <c r="H23" s="168">
        <f>SUM(H18:H22)</f>
        <v>2250</v>
      </c>
      <c r="I23" s="80" t="str">
        <f t="shared" si="2"/>
        <v>n/a</v>
      </c>
      <c r="J23" s="80" t="str">
        <f t="shared" si="3"/>
        <v>n/a</v>
      </c>
      <c r="K23" s="80" t="str">
        <f t="shared" si="4"/>
        <v>n/a</v>
      </c>
      <c r="L23" s="244"/>
    </row>
    <row r="24" spans="2:12" x14ac:dyDescent="0.3">
      <c r="B24" s="13"/>
      <c r="C24" s="52"/>
      <c r="D24" s="3"/>
      <c r="E24" s="3"/>
      <c r="F24" s="3"/>
      <c r="G24" s="159"/>
      <c r="H24" s="156"/>
      <c r="I24" s="27"/>
      <c r="J24" s="27"/>
      <c r="K24" s="27"/>
      <c r="L24" s="242"/>
    </row>
    <row r="25" spans="2:12" x14ac:dyDescent="0.3">
      <c r="B25" s="43"/>
      <c r="C25" s="84"/>
      <c r="D25" s="77"/>
      <c r="E25" s="77"/>
      <c r="F25" s="77"/>
      <c r="G25" s="158"/>
      <c r="H25" s="155"/>
      <c r="I25" s="78"/>
      <c r="J25" s="78"/>
      <c r="K25" s="78"/>
      <c r="L25" s="243"/>
    </row>
    <row r="26" spans="2:12" x14ac:dyDescent="0.3">
      <c r="B26" s="43">
        <v>4375</v>
      </c>
      <c r="C26" s="84" t="s">
        <v>91</v>
      </c>
      <c r="D26" s="77">
        <v>10</v>
      </c>
      <c r="E26" s="77">
        <v>0</v>
      </c>
      <c r="F26" s="77">
        <v>0</v>
      </c>
      <c r="G26" s="158">
        <v>0</v>
      </c>
      <c r="H26" s="155">
        <v>1150</v>
      </c>
      <c r="I26" s="78" t="str">
        <f t="shared" si="2"/>
        <v>n/a</v>
      </c>
      <c r="J26" s="78" t="str">
        <f t="shared" si="3"/>
        <v>n/a</v>
      </c>
      <c r="K26" s="78" t="str">
        <f t="shared" si="4"/>
        <v>n/a</v>
      </c>
      <c r="L26" s="521" t="s">
        <v>282</v>
      </c>
    </row>
    <row r="27" spans="2:12" x14ac:dyDescent="0.3">
      <c r="B27" s="24"/>
      <c r="C27" s="52"/>
      <c r="D27" s="3"/>
      <c r="E27" s="3"/>
      <c r="F27" s="3"/>
      <c r="G27" s="159"/>
      <c r="H27" s="156"/>
      <c r="I27" s="27" t="str">
        <f t="shared" si="2"/>
        <v>n/a</v>
      </c>
      <c r="J27" s="27" t="str">
        <f t="shared" si="3"/>
        <v>n/a</v>
      </c>
      <c r="K27" s="139" t="str">
        <f t="shared" si="4"/>
        <v>n/a</v>
      </c>
      <c r="L27" s="242"/>
    </row>
    <row r="28" spans="2:12" ht="31.8" thickBot="1" x14ac:dyDescent="0.35">
      <c r="B28" s="25"/>
      <c r="C28" s="66" t="s">
        <v>120</v>
      </c>
      <c r="D28" s="21">
        <f>+D26+D23+D16+D14+D8+D6</f>
        <v>8196</v>
      </c>
      <c r="E28" s="21">
        <f t="shared" ref="E28:H28" si="5">+E26+E23+E16+E14+E8+E6</f>
        <v>15000</v>
      </c>
      <c r="F28" s="21">
        <f t="shared" ref="F28" si="6">+F26+F23+F16+F14+F8+F6</f>
        <v>23</v>
      </c>
      <c r="G28" s="160">
        <f t="shared" si="5"/>
        <v>12000</v>
      </c>
      <c r="H28" s="157">
        <f t="shared" si="5"/>
        <v>15400</v>
      </c>
      <c r="I28" s="28">
        <f t="shared" si="2"/>
        <v>0.8</v>
      </c>
      <c r="J28" s="28">
        <f t="shared" si="3"/>
        <v>1.0266666666666666</v>
      </c>
      <c r="K28" s="125">
        <f t="shared" si="4"/>
        <v>1.2833333333333334</v>
      </c>
      <c r="L28" s="246"/>
    </row>
    <row r="29" spans="2:12" ht="15.6" customHeight="1" x14ac:dyDescent="0.3">
      <c r="B29" s="491"/>
      <c r="C29" s="53"/>
      <c r="D29" s="18"/>
      <c r="E29" s="92"/>
      <c r="F29" s="92"/>
      <c r="G29" s="266"/>
      <c r="H29" s="156"/>
      <c r="I29" s="112"/>
      <c r="J29" s="112"/>
      <c r="K29" s="112"/>
      <c r="L29" s="509"/>
    </row>
    <row r="30" spans="2:12" ht="15.6" customHeight="1" x14ac:dyDescent="0.3">
      <c r="B30" s="491" t="s">
        <v>299</v>
      </c>
      <c r="C30" s="53"/>
      <c r="D30" s="18">
        <v>0</v>
      </c>
      <c r="E30" s="92">
        <v>0</v>
      </c>
      <c r="F30" s="92">
        <v>0</v>
      </c>
      <c r="G30" s="266">
        <v>7727</v>
      </c>
      <c r="H30" s="156"/>
      <c r="I30" s="112" t="str">
        <f>IFERROR(G30/E30,"n/a")</f>
        <v>n/a</v>
      </c>
      <c r="J30" s="112" t="str">
        <f>IFERROR(H30/E30,"n/a")</f>
        <v>n/a</v>
      </c>
      <c r="K30" s="112">
        <f>IFERROR(H30/G30,"n/a")</f>
        <v>0</v>
      </c>
      <c r="L30" s="509"/>
    </row>
    <row r="31" spans="2:12" s="249" customFormat="1" ht="44.4" customHeight="1" x14ac:dyDescent="0.3">
      <c r="B31" s="491">
        <v>4352</v>
      </c>
      <c r="C31" s="53" t="s">
        <v>128</v>
      </c>
      <c r="D31" s="18">
        <v>4700</v>
      </c>
      <c r="E31" s="92">
        <v>0</v>
      </c>
      <c r="F31" s="92">
        <v>0</v>
      </c>
      <c r="G31" s="266">
        <v>0</v>
      </c>
      <c r="H31" s="156">
        <v>3000</v>
      </c>
      <c r="I31" s="112" t="str">
        <f>IFERROR(G31/E31,"n/a")</f>
        <v>n/a</v>
      </c>
      <c r="J31" s="112" t="str">
        <f>IFERROR(H31/E31,"n/a")</f>
        <v>n/a</v>
      </c>
      <c r="K31" s="112" t="str">
        <f>IFERROR(H31/G31,"n/a")</f>
        <v>n/a</v>
      </c>
      <c r="L31" s="395" t="s">
        <v>291</v>
      </c>
    </row>
    <row r="32" spans="2:12" ht="15.6" customHeight="1" x14ac:dyDescent="0.3">
      <c r="B32" s="491"/>
      <c r="C32" s="53"/>
      <c r="D32" s="18"/>
      <c r="E32" s="92"/>
      <c r="F32" s="92"/>
      <c r="G32" s="266"/>
      <c r="H32" s="156"/>
      <c r="I32" s="112"/>
      <c r="J32" s="112"/>
      <c r="K32" s="112"/>
      <c r="L32" s="509"/>
    </row>
    <row r="33" spans="2:12" s="249" customFormat="1" x14ac:dyDescent="0.3">
      <c r="B33" s="203">
        <v>4375</v>
      </c>
      <c r="C33" s="198" t="s">
        <v>91</v>
      </c>
      <c r="D33" s="199">
        <v>1300</v>
      </c>
      <c r="E33" s="200">
        <v>0</v>
      </c>
      <c r="F33" s="200">
        <v>0</v>
      </c>
      <c r="G33" s="201">
        <v>0</v>
      </c>
      <c r="H33" s="200">
        <v>0</v>
      </c>
      <c r="I33" s="202" t="str">
        <f>IFERROR(G33/E33,"n/a")</f>
        <v>n/a</v>
      </c>
      <c r="J33" s="202" t="str">
        <f>IFERROR(H33/E33,"n/a")</f>
        <v>n/a</v>
      </c>
      <c r="K33" s="202" t="str">
        <f>IFERROR(H33/G33,"n/a")</f>
        <v>n/a</v>
      </c>
      <c r="L33" s="532" t="s">
        <v>208</v>
      </c>
    </row>
    <row r="34" spans="2:12" x14ac:dyDescent="0.3">
      <c r="B34" s="501"/>
      <c r="C34" s="196"/>
      <c r="D34" s="18"/>
      <c r="E34" s="92"/>
      <c r="F34" s="92"/>
      <c r="G34" s="266"/>
      <c r="H34" s="156"/>
      <c r="I34" s="112"/>
      <c r="J34" s="112"/>
      <c r="K34" s="112"/>
      <c r="L34" s="509"/>
    </row>
    <row r="35" spans="2:12" x14ac:dyDescent="0.3">
      <c r="B35" s="494"/>
      <c r="C35" s="495" t="s">
        <v>106</v>
      </c>
      <c r="D35" s="496">
        <f>SUM(D29:D34)</f>
        <v>6000</v>
      </c>
      <c r="E35" s="483">
        <f t="shared" ref="E35:H35" si="7">SUM(E29:E34)</f>
        <v>0</v>
      </c>
      <c r="F35" s="483">
        <f t="shared" ref="F35" si="8">SUM(F29:F34)</f>
        <v>0</v>
      </c>
      <c r="G35" s="488">
        <f t="shared" si="7"/>
        <v>7727</v>
      </c>
      <c r="H35" s="490">
        <f t="shared" si="7"/>
        <v>3000</v>
      </c>
      <c r="I35" s="497" t="str">
        <f t="shared" ref="I35" si="9">IFERROR(G35/E35,"n/a")</f>
        <v>n/a</v>
      </c>
      <c r="J35" s="497" t="str">
        <f t="shared" ref="J35" si="10">IFERROR(H35/E35,"n/a")</f>
        <v>n/a</v>
      </c>
      <c r="K35" s="497">
        <f>IFERROR(H35/G35,"n/a")</f>
        <v>0.38824899702342436</v>
      </c>
      <c r="L35" s="510"/>
    </row>
    <row r="36" spans="2:12" x14ac:dyDescent="0.3">
      <c r="B36" s="502"/>
      <c r="C36" s="196"/>
      <c r="D36" s="18"/>
      <c r="E36" s="92"/>
      <c r="F36" s="92"/>
      <c r="G36" s="266"/>
      <c r="H36" s="156"/>
      <c r="I36" s="112"/>
      <c r="J36" s="181"/>
      <c r="K36" s="181"/>
      <c r="L36" s="509"/>
    </row>
    <row r="37" spans="2:12" ht="31.8" thickBot="1" x14ac:dyDescent="0.35">
      <c r="B37" s="499"/>
      <c r="C37" s="62" t="s">
        <v>119</v>
      </c>
      <c r="D37" s="21">
        <f>D28+D35</f>
        <v>14196</v>
      </c>
      <c r="E37" s="21">
        <f t="shared" ref="E37:H37" si="11">E28+E35</f>
        <v>15000</v>
      </c>
      <c r="F37" s="21">
        <f t="shared" ref="F37" si="12">F28+F35</f>
        <v>23</v>
      </c>
      <c r="G37" s="489">
        <f t="shared" si="11"/>
        <v>19727</v>
      </c>
      <c r="H37" s="170">
        <f t="shared" si="11"/>
        <v>18400</v>
      </c>
      <c r="I37" s="182">
        <f>IFERROR(G37/E37,"n/a")</f>
        <v>1.3151333333333333</v>
      </c>
      <c r="J37" s="182">
        <f>IFERROR(H37/E37,"n/a")</f>
        <v>1.2266666666666666</v>
      </c>
      <c r="K37" s="182">
        <f>IFERROR(H37/G37,"n/a")</f>
        <v>0.93273178891874087</v>
      </c>
      <c r="L37" s="511"/>
    </row>
    <row r="38" spans="2:12" x14ac:dyDescent="0.3">
      <c r="C38" s="65"/>
      <c r="L38" s="65"/>
    </row>
    <row r="39" spans="2:12" x14ac:dyDescent="0.3">
      <c r="L39" s="65"/>
    </row>
    <row r="40" spans="2:12" x14ac:dyDescent="0.3">
      <c r="L40" s="65"/>
    </row>
    <row r="41" spans="2:12" x14ac:dyDescent="0.3">
      <c r="L41" s="65"/>
    </row>
    <row r="42" spans="2:12" x14ac:dyDescent="0.3">
      <c r="L42" s="65"/>
    </row>
    <row r="43" spans="2:12" x14ac:dyDescent="0.3">
      <c r="L43" s="65"/>
    </row>
    <row r="44" spans="2:12" x14ac:dyDescent="0.3">
      <c r="L44" s="65"/>
    </row>
    <row r="45" spans="2:12" x14ac:dyDescent="0.3">
      <c r="L45" s="65"/>
    </row>
    <row r="46" spans="2:12" x14ac:dyDescent="0.3">
      <c r="L46" s="65"/>
    </row>
  </sheetData>
  <phoneticPr fontId="10" type="noConversion"/>
  <pageMargins left="0.75000000000000011" right="0.75000000000000011" top="1" bottom="1" header="0.5" footer="0.5"/>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L17"/>
  <sheetViews>
    <sheetView topLeftCell="A6" workbookViewId="0">
      <selection activeCell="L13" sqref="L13"/>
    </sheetView>
  </sheetViews>
  <sheetFormatPr defaultColWidth="11.19921875" defaultRowHeight="15.6" x14ac:dyDescent="0.3"/>
  <cols>
    <col min="1" max="1" width="4.5" customWidth="1"/>
    <col min="2" max="2" width="10.69921875" customWidth="1"/>
    <col min="3" max="3" width="35" customWidth="1"/>
    <col min="4" max="11" width="13.5" customWidth="1"/>
    <col min="12" max="12" width="61.5" customWidth="1"/>
  </cols>
  <sheetData>
    <row r="1" spans="2:12" ht="16.2" thickBot="1" x14ac:dyDescent="0.35"/>
    <row r="2" spans="2:12" ht="21" x14ac:dyDescent="0.3">
      <c r="B2" s="316" t="s">
        <v>98</v>
      </c>
      <c r="C2" s="317"/>
      <c r="D2" s="318"/>
      <c r="E2" s="319"/>
      <c r="F2" s="319"/>
      <c r="G2" s="320"/>
      <c r="H2" s="321"/>
      <c r="I2" s="321"/>
      <c r="J2" s="321"/>
      <c r="K2" s="321"/>
      <c r="L2" s="322"/>
    </row>
    <row r="3" spans="2:12" ht="21" x14ac:dyDescent="0.3">
      <c r="B3" s="323" t="s">
        <v>92</v>
      </c>
      <c r="C3" s="324"/>
      <c r="D3" s="325"/>
      <c r="E3" s="326"/>
      <c r="F3" s="326"/>
      <c r="G3" s="327"/>
      <c r="H3" s="328"/>
      <c r="I3" s="329"/>
      <c r="J3" s="329"/>
      <c r="K3" s="329"/>
      <c r="L3" s="330"/>
    </row>
    <row r="4" spans="2:12" ht="63" thickBot="1" x14ac:dyDescent="0.35">
      <c r="B4" s="297" t="s">
        <v>33</v>
      </c>
      <c r="C4" s="298" t="s">
        <v>34</v>
      </c>
      <c r="D4" s="285" t="s">
        <v>196</v>
      </c>
      <c r="E4" s="285" t="s">
        <v>99</v>
      </c>
      <c r="F4" s="285" t="s">
        <v>269</v>
      </c>
      <c r="G4" s="303" t="s">
        <v>197</v>
      </c>
      <c r="H4" s="303" t="s">
        <v>198</v>
      </c>
      <c r="I4" s="286" t="s">
        <v>199</v>
      </c>
      <c r="J4" s="285" t="s">
        <v>200</v>
      </c>
      <c r="K4" s="285" t="s">
        <v>201</v>
      </c>
      <c r="L4" s="299" t="s">
        <v>237</v>
      </c>
    </row>
    <row r="5" spans="2:12" x14ac:dyDescent="0.3">
      <c r="B5" s="9"/>
      <c r="C5" s="67"/>
      <c r="D5" s="1"/>
      <c r="E5" s="3"/>
      <c r="F5" s="3"/>
      <c r="G5" s="266"/>
      <c r="H5" s="122"/>
      <c r="I5" s="123"/>
      <c r="J5" s="123"/>
      <c r="K5" s="123"/>
      <c r="L5" s="137"/>
    </row>
    <row r="6" spans="2:12" x14ac:dyDescent="0.3">
      <c r="B6" s="29"/>
      <c r="C6" s="197"/>
      <c r="D6" s="15"/>
      <c r="E6" s="1"/>
      <c r="F6" s="1"/>
      <c r="G6" s="541"/>
      <c r="H6" s="188"/>
      <c r="I6" s="173"/>
      <c r="J6" s="173"/>
      <c r="K6" s="173"/>
      <c r="L6" s="137"/>
    </row>
    <row r="7" spans="2:12" s="249" customFormat="1" x14ac:dyDescent="0.3">
      <c r="B7" s="256">
        <v>4807</v>
      </c>
      <c r="C7" s="257" t="s">
        <v>115</v>
      </c>
      <c r="D7" s="258">
        <v>0</v>
      </c>
      <c r="E7" s="254">
        <v>0</v>
      </c>
      <c r="F7" s="254">
        <v>0</v>
      </c>
      <c r="G7" s="541">
        <v>0</v>
      </c>
      <c r="H7" s="188">
        <v>0</v>
      </c>
      <c r="I7" s="259" t="str">
        <f>IFERROR(G7/E7,"n/a")</f>
        <v>n/a</v>
      </c>
      <c r="J7" s="259" t="str">
        <f>IFERROR(H7/E7,"n/a")</f>
        <v>n/a</v>
      </c>
      <c r="K7" s="259" t="str">
        <f>IFERROR(H7/G7,"n/a")</f>
        <v>n/a</v>
      </c>
      <c r="L7" s="260" t="s">
        <v>167</v>
      </c>
    </row>
    <row r="8" spans="2:12" x14ac:dyDescent="0.3">
      <c r="B8" s="36"/>
      <c r="C8" s="52"/>
      <c r="D8" s="1"/>
      <c r="E8" s="1"/>
      <c r="F8" s="1"/>
      <c r="G8" s="266"/>
      <c r="H8" s="122"/>
      <c r="I8" s="171"/>
      <c r="J8" s="171"/>
      <c r="K8" s="174"/>
      <c r="L8" s="137"/>
    </row>
    <row r="9" spans="2:12" ht="28.95" customHeight="1" thickBot="1" x14ac:dyDescent="0.35">
      <c r="B9" s="26"/>
      <c r="C9" s="55" t="s">
        <v>121</v>
      </c>
      <c r="D9" s="21">
        <f>SUM(D6:D8)</f>
        <v>0</v>
      </c>
      <c r="E9" s="21">
        <f>SUM(E6:E8)</f>
        <v>0</v>
      </c>
      <c r="F9" s="21">
        <f>SUM(F6:F8)</f>
        <v>0</v>
      </c>
      <c r="G9" s="489">
        <f>SUM(G6:G8)</f>
        <v>0</v>
      </c>
      <c r="H9" s="157">
        <v>0</v>
      </c>
      <c r="I9" s="230" t="str">
        <f>IFERROR(G9/E9,"n/a")</f>
        <v>n/a</v>
      </c>
      <c r="J9" s="230" t="str">
        <f>IFERROR(H9/E9,"n/a")</f>
        <v>n/a</v>
      </c>
      <c r="K9" s="231" t="str">
        <f>IFERROR(H9/G9,"n/a")</f>
        <v>n/a</v>
      </c>
      <c r="L9" s="141"/>
    </row>
    <row r="10" spans="2:12" ht="16.95" customHeight="1" x14ac:dyDescent="0.3">
      <c r="B10" s="491"/>
      <c r="C10" s="53"/>
      <c r="D10" s="18"/>
      <c r="E10" s="92"/>
      <c r="F10" s="92"/>
      <c r="G10" s="266"/>
      <c r="H10" s="156"/>
      <c r="I10" s="112"/>
      <c r="J10" s="112"/>
      <c r="K10" s="112"/>
      <c r="L10" s="133"/>
    </row>
    <row r="11" spans="2:12" ht="42" customHeight="1" x14ac:dyDescent="0.3">
      <c r="B11" s="491">
        <v>4807</v>
      </c>
      <c r="C11" s="515" t="s">
        <v>138</v>
      </c>
      <c r="D11" s="18">
        <v>1643</v>
      </c>
      <c r="E11" s="92">
        <v>0</v>
      </c>
      <c r="F11" s="92">
        <v>0</v>
      </c>
      <c r="G11" s="266">
        <v>0</v>
      </c>
      <c r="H11" s="156">
        <v>0</v>
      </c>
      <c r="I11" s="112" t="str">
        <f>IFERROR(G11/E11,"n/a")</f>
        <v>n/a</v>
      </c>
      <c r="J11" s="112" t="str">
        <f>IFERROR(H11/E11,"n/a")</f>
        <v>n/a</v>
      </c>
      <c r="K11" s="112" t="str">
        <f>IFERROR(H11/G11,"n/a")</f>
        <v>n/a</v>
      </c>
      <c r="L11" s="250" t="s">
        <v>301</v>
      </c>
    </row>
    <row r="12" spans="2:12" ht="16.95" customHeight="1" x14ac:dyDescent="0.3">
      <c r="B12" s="491"/>
      <c r="C12" s="515"/>
      <c r="D12" s="18"/>
      <c r="E12" s="92"/>
      <c r="F12" s="92"/>
      <c r="G12" s="266"/>
      <c r="H12" s="156"/>
      <c r="I12" s="112"/>
      <c r="J12" s="112"/>
      <c r="K12" s="112"/>
      <c r="L12" s="133"/>
    </row>
    <row r="13" spans="2:12" ht="32.4" customHeight="1" x14ac:dyDescent="0.3">
      <c r="B13" s="491">
        <v>4808</v>
      </c>
      <c r="C13" s="515" t="s">
        <v>263</v>
      </c>
      <c r="D13" s="18">
        <v>0</v>
      </c>
      <c r="E13" s="92">
        <v>0</v>
      </c>
      <c r="F13" s="92">
        <v>2623</v>
      </c>
      <c r="G13" s="266">
        <v>4123</v>
      </c>
      <c r="H13" s="156">
        <v>138454</v>
      </c>
      <c r="I13" s="112" t="str">
        <f>IFERROR(G13/E13,"n/a")</f>
        <v>n/a</v>
      </c>
      <c r="J13" s="112" t="str">
        <f>IFERROR(H13/E13,"n/a")</f>
        <v>n/a</v>
      </c>
      <c r="K13" s="112">
        <f>IFERROR(H13/G13,"n/a")</f>
        <v>33.580887703128788</v>
      </c>
      <c r="L13" s="250" t="s">
        <v>302</v>
      </c>
    </row>
    <row r="14" spans="2:12" ht="16.95" customHeight="1" x14ac:dyDescent="0.3">
      <c r="B14" s="491"/>
      <c r="C14" s="53"/>
      <c r="D14" s="18"/>
      <c r="E14" s="92"/>
      <c r="F14" s="92"/>
      <c r="G14" s="266"/>
      <c r="H14" s="156"/>
      <c r="I14" s="112"/>
      <c r="J14" s="112"/>
      <c r="K14" s="112"/>
      <c r="L14" s="133"/>
    </row>
    <row r="15" spans="2:12" x14ac:dyDescent="0.3">
      <c r="B15" s="494"/>
      <c r="C15" s="495" t="s">
        <v>106</v>
      </c>
      <c r="D15" s="496">
        <f>SUM(D10:D14)</f>
        <v>1643</v>
      </c>
      <c r="E15" s="483">
        <f>SUM(E10:E14)</f>
        <v>0</v>
      </c>
      <c r="F15" s="483">
        <f>SUM(F10:F14)</f>
        <v>2623</v>
      </c>
      <c r="G15" s="488">
        <f>SUM(G10:G14)</f>
        <v>4123</v>
      </c>
      <c r="H15" s="490">
        <f>SUM(H10:H14)</f>
        <v>138454</v>
      </c>
      <c r="I15" s="497" t="str">
        <f t="shared" ref="I15" si="0">IFERROR(G15/E15,"n/a")</f>
        <v>n/a</v>
      </c>
      <c r="J15" s="497" t="str">
        <f t="shared" ref="J15" si="1">IFERROR(H15/E15,"n/a")</f>
        <v>n/a</v>
      </c>
      <c r="K15" s="497">
        <f>IFERROR(H15/G15,"n/a")</f>
        <v>33.580887703128788</v>
      </c>
      <c r="L15" s="498"/>
    </row>
    <row r="16" spans="2:12" x14ac:dyDescent="0.3">
      <c r="B16" s="502"/>
      <c r="C16" s="196"/>
      <c r="D16" s="18"/>
      <c r="E16" s="92"/>
      <c r="F16" s="92"/>
      <c r="G16" s="266"/>
      <c r="H16" s="156"/>
      <c r="I16" s="112"/>
      <c r="J16" s="181"/>
      <c r="K16" s="181"/>
      <c r="L16" s="133"/>
    </row>
    <row r="17" spans="2:12" ht="16.2" thickBot="1" x14ac:dyDescent="0.35">
      <c r="B17" s="499"/>
      <c r="C17" s="62" t="s">
        <v>122</v>
      </c>
      <c r="D17" s="21">
        <f>D9+D15</f>
        <v>1643</v>
      </c>
      <c r="E17" s="21">
        <f>E9+E15</f>
        <v>0</v>
      </c>
      <c r="F17" s="21">
        <f>F9+F15</f>
        <v>2623</v>
      </c>
      <c r="G17" s="489">
        <f>G9+G15</f>
        <v>4123</v>
      </c>
      <c r="H17" s="170">
        <f>H9+H15</f>
        <v>138454</v>
      </c>
      <c r="I17" s="182" t="str">
        <f>IFERROR(G17/E17,"n/a")</f>
        <v>n/a</v>
      </c>
      <c r="J17" s="182" t="str">
        <f>IFERROR(H17/E17,"n/a")</f>
        <v>n/a</v>
      </c>
      <c r="K17" s="182">
        <f>IFERROR(H17/G17,"n/a")</f>
        <v>33.580887703128788</v>
      </c>
      <c r="L17" s="487"/>
    </row>
  </sheetData>
  <phoneticPr fontId="10" type="noConversion"/>
  <pageMargins left="0.75000000000000011" right="0.75000000000000011" top="1" bottom="1" header="0.5" footer="0.5"/>
  <pageSetup paperSize="9"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B923-609F-4677-914D-59FD6CAD4964}">
  <dimension ref="A2:P26"/>
  <sheetViews>
    <sheetView tabSelected="1" topLeftCell="A7" workbookViewId="0">
      <selection activeCell="D6" sqref="D6:F9"/>
    </sheetView>
  </sheetViews>
  <sheetFormatPr defaultRowHeight="15.6" x14ac:dyDescent="0.3"/>
  <cols>
    <col min="1" max="1" width="11.296875" customWidth="1"/>
    <col min="2" max="2" width="11.796875" customWidth="1"/>
    <col min="3" max="3" width="12.8984375" customWidth="1"/>
    <col min="4" max="4" width="12.69921875" customWidth="1"/>
    <col min="5" max="5" width="10.8984375" customWidth="1"/>
    <col min="6" max="6" width="11.5" customWidth="1"/>
    <col min="7" max="7" width="11" customWidth="1"/>
    <col min="8" max="8" width="13.69921875" customWidth="1"/>
    <col min="9" max="11" width="11" customWidth="1"/>
    <col min="12" max="12" width="10.19921875" customWidth="1"/>
    <col min="13" max="13" width="11.69921875" customWidth="1"/>
    <col min="14" max="14" width="12.19921875" customWidth="1"/>
    <col min="15" max="15" width="12.5" customWidth="1"/>
    <col min="16" max="16" width="12.09765625" customWidth="1"/>
  </cols>
  <sheetData>
    <row r="2" spans="1:16" ht="21" x14ac:dyDescent="0.3">
      <c r="A2" s="267" t="s">
        <v>261</v>
      </c>
      <c r="B2" s="205"/>
      <c r="C2" s="205"/>
      <c r="D2" s="205"/>
      <c r="E2" s="205"/>
      <c r="F2" s="205"/>
      <c r="G2" s="205"/>
      <c r="H2" s="205"/>
      <c r="I2" s="205"/>
      <c r="J2" s="205"/>
      <c r="K2" s="205"/>
    </row>
    <row r="3" spans="1:16" ht="21.6" thickBot="1" x14ac:dyDescent="0.35">
      <c r="A3" s="205"/>
      <c r="B3" s="205"/>
      <c r="C3" s="205"/>
      <c r="D3" s="205"/>
      <c r="E3" s="205"/>
      <c r="F3" s="205"/>
      <c r="G3" s="205"/>
      <c r="H3" s="205"/>
      <c r="I3" s="205"/>
      <c r="J3" s="205"/>
      <c r="K3" s="205"/>
    </row>
    <row r="4" spans="1:16" ht="109.8" thickBot="1" x14ac:dyDescent="0.35">
      <c r="A4" s="359" t="s">
        <v>139</v>
      </c>
      <c r="B4" s="360" t="s">
        <v>174</v>
      </c>
      <c r="C4" s="361" t="s">
        <v>173</v>
      </c>
      <c r="D4" s="362" t="s">
        <v>140</v>
      </c>
      <c r="E4" s="362" t="s">
        <v>141</v>
      </c>
      <c r="F4" s="362" t="s">
        <v>142</v>
      </c>
      <c r="G4" s="363" t="s">
        <v>143</v>
      </c>
      <c r="H4" s="362" t="s">
        <v>144</v>
      </c>
      <c r="I4" s="362" t="s">
        <v>145</v>
      </c>
      <c r="J4" s="362" t="s">
        <v>168</v>
      </c>
      <c r="K4" s="362" t="s">
        <v>295</v>
      </c>
      <c r="L4" s="362" t="s">
        <v>146</v>
      </c>
      <c r="M4" s="362" t="s">
        <v>158</v>
      </c>
      <c r="N4" s="362" t="s">
        <v>192</v>
      </c>
      <c r="O4" s="360" t="s">
        <v>175</v>
      </c>
      <c r="P4" s="361" t="s">
        <v>172</v>
      </c>
    </row>
    <row r="5" spans="1:16" x14ac:dyDescent="0.3">
      <c r="A5" s="206"/>
      <c r="B5" s="336"/>
      <c r="C5" s="234"/>
      <c r="D5" s="207"/>
      <c r="E5" s="208"/>
      <c r="F5" s="209"/>
      <c r="G5" s="210"/>
      <c r="H5" s="209"/>
      <c r="I5" s="262"/>
      <c r="J5" s="262"/>
      <c r="K5" s="263"/>
      <c r="L5" s="211"/>
      <c r="M5" s="212"/>
      <c r="N5" s="213"/>
      <c r="O5" s="235"/>
      <c r="P5" s="234"/>
    </row>
    <row r="6" spans="1:16" ht="41.4" customHeight="1" x14ac:dyDescent="0.3">
      <c r="A6" s="215" t="s">
        <v>148</v>
      </c>
      <c r="B6" s="336">
        <v>140406</v>
      </c>
      <c r="C6" s="234"/>
      <c r="D6" s="343">
        <v>26898.080000000002</v>
      </c>
      <c r="E6" s="364">
        <v>45017</v>
      </c>
      <c r="F6" s="365" t="s">
        <v>157</v>
      </c>
      <c r="G6" s="337" t="s">
        <v>155</v>
      </c>
      <c r="H6" s="338" t="s">
        <v>156</v>
      </c>
      <c r="I6" s="339">
        <v>5290</v>
      </c>
      <c r="J6" s="339">
        <v>0</v>
      </c>
      <c r="K6" s="538">
        <v>5290</v>
      </c>
      <c r="L6" s="425"/>
      <c r="M6" s="425"/>
      <c r="N6" s="528">
        <v>0</v>
      </c>
      <c r="O6" s="350"/>
      <c r="P6" s="234"/>
    </row>
    <row r="7" spans="1:16" ht="42.6" customHeight="1" x14ac:dyDescent="0.3">
      <c r="A7" s="215" t="s">
        <v>218</v>
      </c>
      <c r="B7" s="336">
        <v>17393</v>
      </c>
      <c r="C7" s="234"/>
      <c r="D7" s="343"/>
      <c r="E7" s="342"/>
      <c r="F7" s="365"/>
      <c r="G7" s="337" t="s">
        <v>171</v>
      </c>
      <c r="H7" s="338" t="s">
        <v>170</v>
      </c>
      <c r="I7" s="339">
        <v>106369.35</v>
      </c>
      <c r="J7" s="340">
        <v>0</v>
      </c>
      <c r="K7" s="339">
        <v>106369.65</v>
      </c>
      <c r="L7" s="425"/>
      <c r="M7" s="425"/>
      <c r="N7" s="261">
        <v>106369</v>
      </c>
      <c r="O7" s="349"/>
      <c r="P7" s="234"/>
    </row>
    <row r="8" spans="1:16" ht="51" customHeight="1" x14ac:dyDescent="0.3">
      <c r="A8" s="215"/>
      <c r="B8" s="232"/>
      <c r="C8" s="234"/>
      <c r="D8" s="343">
        <v>27508.240000000002</v>
      </c>
      <c r="E8" s="364">
        <v>45017</v>
      </c>
      <c r="F8" s="365" t="s">
        <v>193</v>
      </c>
      <c r="G8" s="341"/>
      <c r="H8" s="338" t="s">
        <v>219</v>
      </c>
      <c r="I8" s="339">
        <v>5437.33</v>
      </c>
      <c r="J8" s="339">
        <v>0</v>
      </c>
      <c r="K8" s="538">
        <v>5437.33</v>
      </c>
      <c r="L8" s="342"/>
      <c r="M8" s="343"/>
      <c r="N8" s="261">
        <v>5437.33</v>
      </c>
      <c r="O8" s="349"/>
      <c r="P8" s="234"/>
    </row>
    <row r="9" spans="1:16" ht="31.2" x14ac:dyDescent="0.3">
      <c r="B9" s="335"/>
      <c r="C9" s="234"/>
      <c r="D9" s="343">
        <v>27508.240000000002</v>
      </c>
      <c r="E9" s="364">
        <v>45212</v>
      </c>
      <c r="F9" s="526" t="s">
        <v>268</v>
      </c>
      <c r="N9" s="527"/>
      <c r="O9" s="349"/>
      <c r="P9" s="234"/>
    </row>
    <row r="10" spans="1:16" ht="62.4" x14ac:dyDescent="0.3">
      <c r="A10" s="215"/>
      <c r="B10" s="232"/>
      <c r="C10" s="281"/>
      <c r="D10" s="282" t="s">
        <v>194</v>
      </c>
      <c r="E10" s="216"/>
      <c r="F10" s="265"/>
      <c r="G10" s="264"/>
      <c r="H10" s="272"/>
      <c r="I10" s="268"/>
      <c r="J10" s="268"/>
      <c r="K10" s="269"/>
      <c r="L10" s="270"/>
      <c r="M10" s="271"/>
      <c r="N10" s="273"/>
      <c r="O10" s="236"/>
      <c r="P10" s="234"/>
    </row>
    <row r="11" spans="1:16" x14ac:dyDescent="0.3">
      <c r="A11" s="215"/>
      <c r="B11" s="233">
        <v>0</v>
      </c>
      <c r="C11" s="234"/>
      <c r="D11" s="219"/>
      <c r="E11" s="217"/>
      <c r="F11" s="218"/>
      <c r="M11" s="271"/>
      <c r="N11" s="261"/>
      <c r="O11" s="236"/>
      <c r="P11" s="234"/>
    </row>
    <row r="12" spans="1:16" ht="16.2" thickBot="1" x14ac:dyDescent="0.35">
      <c r="A12" s="366">
        <v>45017</v>
      </c>
      <c r="B12" s="367">
        <f>SUM(B6:B11)</f>
        <v>157799</v>
      </c>
      <c r="C12" s="368">
        <v>0</v>
      </c>
      <c r="D12" s="405">
        <f>SUM(D6:D11)</f>
        <v>81914.560000000012</v>
      </c>
      <c r="E12" s="369"/>
      <c r="F12" s="370"/>
      <c r="G12" s="371"/>
      <c r="H12" s="370"/>
      <c r="I12" s="372">
        <f>SUM(I6:I11)</f>
        <v>117096.68000000001</v>
      </c>
      <c r="J12" s="536">
        <f>SUM(J6:J11)</f>
        <v>0</v>
      </c>
      <c r="K12" s="537">
        <f>SUM(K6:K11)</f>
        <v>117096.98</v>
      </c>
      <c r="L12" s="369"/>
      <c r="M12" s="373"/>
      <c r="N12" s="374">
        <f>SUM(N6:N11)</f>
        <v>111806.33</v>
      </c>
      <c r="O12" s="375">
        <f>B12+D12-N12</f>
        <v>127907.23</v>
      </c>
      <c r="P12" s="377">
        <f>+B12+D12-I12</f>
        <v>122616.87999999999</v>
      </c>
    </row>
    <row r="13" spans="1:16" x14ac:dyDescent="0.3">
      <c r="A13" s="220"/>
      <c r="B13" s="232"/>
      <c r="C13" s="234"/>
      <c r="D13" s="283" t="s">
        <v>32</v>
      </c>
      <c r="E13" s="208"/>
      <c r="F13" s="221"/>
      <c r="G13" s="209"/>
      <c r="H13" s="209"/>
      <c r="I13" s="209"/>
      <c r="K13" s="430" t="s">
        <v>262</v>
      </c>
      <c r="L13" s="211"/>
      <c r="M13" s="212"/>
      <c r="N13" s="208"/>
      <c r="O13" s="237"/>
      <c r="P13" s="214"/>
    </row>
    <row r="14" spans="1:16" x14ac:dyDescent="0.3">
      <c r="A14" s="222"/>
      <c r="B14" s="232"/>
      <c r="C14" s="234"/>
      <c r="D14" s="274"/>
      <c r="E14" s="275"/>
      <c r="F14" s="276"/>
      <c r="O14" s="238"/>
      <c r="P14" s="214"/>
    </row>
    <row r="15" spans="1:16" ht="46.8" x14ac:dyDescent="0.3">
      <c r="A15" s="227"/>
      <c r="B15" s="232"/>
      <c r="C15" s="234"/>
      <c r="D15" s="343">
        <v>27508.240000000002</v>
      </c>
      <c r="E15" s="524">
        <v>45383</v>
      </c>
      <c r="F15" s="365" t="s">
        <v>285</v>
      </c>
      <c r="G15" s="344" t="s">
        <v>154</v>
      </c>
      <c r="H15" s="345" t="s">
        <v>147</v>
      </c>
      <c r="I15" s="346">
        <v>50000</v>
      </c>
      <c r="J15" s="346">
        <v>50000</v>
      </c>
      <c r="K15" s="347">
        <v>0</v>
      </c>
      <c r="L15" s="424"/>
      <c r="M15" s="424"/>
      <c r="N15" s="348">
        <v>0</v>
      </c>
      <c r="O15" s="239"/>
      <c r="P15" s="214"/>
    </row>
    <row r="16" spans="1:16" ht="31.2" x14ac:dyDescent="0.3">
      <c r="A16" s="222"/>
      <c r="B16" s="232"/>
      <c r="C16" s="234"/>
      <c r="D16" s="343"/>
      <c r="E16" s="364"/>
      <c r="F16" s="365"/>
      <c r="G16" s="344" t="s">
        <v>149</v>
      </c>
      <c r="H16" s="345" t="s">
        <v>150</v>
      </c>
      <c r="I16" s="346">
        <v>20000</v>
      </c>
      <c r="J16" s="346">
        <v>0</v>
      </c>
      <c r="K16" s="347">
        <v>20000</v>
      </c>
      <c r="L16" s="424"/>
      <c r="M16" s="424"/>
      <c r="N16" s="349">
        <v>0</v>
      </c>
      <c r="O16" s="240"/>
      <c r="P16" s="214"/>
    </row>
    <row r="17" spans="1:16" ht="31.2" x14ac:dyDescent="0.3">
      <c r="A17" s="228"/>
      <c r="B17" s="232"/>
      <c r="C17" s="234"/>
      <c r="D17" s="343">
        <v>68011.41</v>
      </c>
      <c r="E17" s="524">
        <v>45200</v>
      </c>
      <c r="F17" s="365" t="s">
        <v>286</v>
      </c>
      <c r="G17" s="344" t="s">
        <v>149</v>
      </c>
      <c r="H17" s="345" t="s">
        <v>151</v>
      </c>
      <c r="I17" s="346">
        <v>20000</v>
      </c>
      <c r="J17" s="346">
        <v>0</v>
      </c>
      <c r="K17" s="347">
        <v>20000</v>
      </c>
      <c r="L17" s="424"/>
      <c r="M17" s="424"/>
      <c r="N17" s="349">
        <v>0</v>
      </c>
      <c r="O17" s="240"/>
      <c r="P17" s="214"/>
    </row>
    <row r="18" spans="1:16" ht="31.2" x14ac:dyDescent="0.3">
      <c r="A18" s="228"/>
      <c r="B18" s="232"/>
      <c r="C18" s="234"/>
      <c r="D18" s="343"/>
      <c r="E18" s="364"/>
      <c r="F18" s="365"/>
      <c r="G18" s="426" t="s">
        <v>257</v>
      </c>
      <c r="H18" s="426" t="s">
        <v>258</v>
      </c>
      <c r="I18" s="427">
        <v>5400</v>
      </c>
      <c r="J18" s="427">
        <v>0</v>
      </c>
      <c r="K18" s="428">
        <v>5400</v>
      </c>
      <c r="L18" s="270"/>
      <c r="M18" s="279"/>
      <c r="N18" s="429">
        <v>0</v>
      </c>
      <c r="O18" s="240"/>
      <c r="P18" s="214"/>
    </row>
    <row r="19" spans="1:16" x14ac:dyDescent="0.3">
      <c r="A19" s="228"/>
      <c r="B19" s="232"/>
      <c r="C19" s="234"/>
      <c r="D19" s="223"/>
      <c r="E19" s="224"/>
      <c r="F19" s="225"/>
      <c r="O19" s="240"/>
      <c r="P19" s="214"/>
    </row>
    <row r="20" spans="1:16" x14ac:dyDescent="0.3">
      <c r="A20" s="227"/>
      <c r="B20" s="232"/>
      <c r="C20" s="234"/>
      <c r="D20" s="223"/>
      <c r="E20" s="226"/>
      <c r="F20" s="225"/>
      <c r="G20" s="210"/>
      <c r="O20" s="240"/>
      <c r="P20" s="214"/>
    </row>
    <row r="21" spans="1:16" ht="16.2" thickBot="1" x14ac:dyDescent="0.35">
      <c r="A21" s="351">
        <v>45383</v>
      </c>
      <c r="B21" s="358">
        <f>O12</f>
        <v>127907.23</v>
      </c>
      <c r="C21" s="376">
        <f>P12</f>
        <v>122616.87999999999</v>
      </c>
      <c r="D21" s="525">
        <f>SUM(D14:D20)</f>
        <v>95519.650000000009</v>
      </c>
      <c r="E21" s="353"/>
      <c r="F21" s="354"/>
      <c r="G21" s="355"/>
      <c r="H21" s="355"/>
      <c r="I21" s="355">
        <f>SUM(I13:I20)</f>
        <v>95400</v>
      </c>
      <c r="J21" s="540">
        <f t="shared" ref="J21" si="0">SUM(J13:J20)</f>
        <v>50000</v>
      </c>
      <c r="K21" s="539">
        <f>SUM(K13:K20)</f>
        <v>45400</v>
      </c>
      <c r="L21" s="353"/>
      <c r="M21" s="352"/>
      <c r="N21" s="353">
        <f>SUM(N13:N20)</f>
        <v>0</v>
      </c>
      <c r="O21" s="356">
        <f>B21+D21-N21</f>
        <v>223426.88</v>
      </c>
      <c r="P21" s="357">
        <f>+C21+D21-I21</f>
        <v>122736.53</v>
      </c>
    </row>
    <row r="22" spans="1:16" x14ac:dyDescent="0.3">
      <c r="J22" s="284"/>
    </row>
    <row r="23" spans="1:16" x14ac:dyDescent="0.3">
      <c r="A23" s="278"/>
    </row>
    <row r="24" spans="1:16" x14ac:dyDescent="0.3">
      <c r="A24" s="280"/>
    </row>
    <row r="26" spans="1:16" x14ac:dyDescent="0.3">
      <c r="A26" s="277"/>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5C84FA3040E7418E53DF000E6CBA75" ma:contentTypeVersion="16" ma:contentTypeDescription="Create a new document." ma:contentTypeScope="" ma:versionID="dbcdd127a5ed07c32df3273b68a3fd8c">
  <xsd:schema xmlns:xsd="http://www.w3.org/2001/XMLSchema" xmlns:xs="http://www.w3.org/2001/XMLSchema" xmlns:p="http://schemas.microsoft.com/office/2006/metadata/properties" xmlns:ns2="13ddb142-86c1-463f-9a12-a992385bda94" xmlns:ns3="e0ea50aa-9a19-4cb4-ba41-57597350199e" targetNamespace="http://schemas.microsoft.com/office/2006/metadata/properties" ma:root="true" ma:fieldsID="01e88844dfd2063729efcc0bc06913d6" ns2:_="" ns3:_="">
    <xsd:import namespace="13ddb142-86c1-463f-9a12-a992385bda94"/>
    <xsd:import namespace="e0ea50aa-9a19-4cb4-ba41-5759735019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db142-86c1-463f-9a12-a992385bd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919250d-7dcb-4f5e-b444-383715c1c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ea50aa-9a19-4cb4-ba41-5759735019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b82454-37fd-4db9-bffb-e75612a8fe8e}" ma:internalName="TaxCatchAll" ma:showField="CatchAllData" ma:web="e0ea50aa-9a19-4cb4-ba41-5759735019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ea50aa-9a19-4cb4-ba41-57597350199e" xsi:nil="true"/>
    <lcf76f155ced4ddcb4097134ff3c332f xmlns="13ddb142-86c1-463f-9a12-a992385bda9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C1B280-593D-4266-87CA-1B13660372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ddb142-86c1-463f-9a12-a992385bda94"/>
    <ds:schemaRef ds:uri="e0ea50aa-9a19-4cb4-ba41-5759735019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00D664-52B7-45B9-B0D7-A34EA1FCAF72}">
  <ds:schemaRefs>
    <ds:schemaRef ds:uri="http://schemas.microsoft.com/office/2006/metadata/properties"/>
    <ds:schemaRef ds:uri="http://purl.org/dc/dcmitype/"/>
    <ds:schemaRef ds:uri="http://purl.org/dc/elements/1.1/"/>
    <ds:schemaRef ds:uri="http://schemas.microsoft.com/office/infopath/2007/PartnerControls"/>
    <ds:schemaRef ds:uri="http://purl.org/dc/terms/"/>
    <ds:schemaRef ds:uri="http://schemas.openxmlformats.org/package/2006/metadata/core-properties"/>
    <ds:schemaRef ds:uri="http://www.w3.org/XML/1998/namespace"/>
    <ds:schemaRef ds:uri="http://schemas.microsoft.com/office/2006/documentManagement/types"/>
    <ds:schemaRef ds:uri="e0ea50aa-9a19-4cb4-ba41-57597350199e"/>
    <ds:schemaRef ds:uri="13ddb142-86c1-463f-9a12-a992385bda94"/>
  </ds:schemaRefs>
</ds:datastoreItem>
</file>

<file path=customXml/itemProps3.xml><?xml version="1.0" encoding="utf-8"?>
<ds:datastoreItem xmlns:ds="http://schemas.openxmlformats.org/officeDocument/2006/customXml" ds:itemID="{B06018E7-BBCE-457A-99CA-B8AD2BC481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Budget Summary</vt:lpstr>
      <vt:lpstr>Reserves</vt:lpstr>
      <vt:lpstr>100 Income</vt:lpstr>
      <vt:lpstr>101 Admin</vt:lpstr>
      <vt:lpstr>104 Communications</vt:lpstr>
      <vt:lpstr>301 Fairground &amp; Cemetery</vt:lpstr>
      <vt:lpstr>302 Roads, Footpaths, Commons</vt:lpstr>
      <vt:lpstr>805 Community Projects</vt:lpstr>
      <vt:lpstr>CIL</vt:lpstr>
      <vt:lpstr>'100 Income'!Print_Area</vt:lpstr>
      <vt:lpstr>'101 Admin'!Print_Area</vt:lpstr>
      <vt:lpstr>'104 Communications'!Print_Area</vt:lpstr>
      <vt:lpstr>'301 Fairground &amp; Cemetery'!Print_Area</vt:lpstr>
      <vt:lpstr>'302 Roads, Footpaths, Commons'!Print_Area</vt:lpstr>
      <vt:lpstr>'805 Community Projects'!Print_Area</vt:lpstr>
      <vt:lpstr>'Budget Summary'!Print_Area</vt:lpstr>
      <vt:lpstr>Reserves!Print_Area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Reade</dc:creator>
  <cp:keywords/>
  <dc:description/>
  <cp:lastModifiedBy>Lynn Hannawin</cp:lastModifiedBy>
  <cp:revision/>
  <cp:lastPrinted>2023-12-01T13:52:37Z</cp:lastPrinted>
  <dcterms:created xsi:type="dcterms:W3CDTF">2018-08-23T05:15:26Z</dcterms:created>
  <dcterms:modified xsi:type="dcterms:W3CDTF">2024-01-03T16:19:24Z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0x0101009B5C84FA3040E7418E53DF000E6CBA75</vt:lpwstr>
  </property>
  <property fmtid="{D5CDD505-2E9C-101B-9397-08002B2CF9AE}" pid="3" name="MediaServiceImageTags">
    <vt:lpwstr/>
  </property>
</Properties>
</file>